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10" yWindow="80" windowWidth="20120" windowHeight="7980" tabRatio="681"/>
  </bookViews>
  <sheets>
    <sheet name="INSTRUCTIONS" sheetId="6" r:id="rId1"/>
    <sheet name="P1 - 30 Pts" sheetId="2" r:id="rId2"/>
    <sheet name="P2 - 10 pts" sheetId="9" r:id="rId3"/>
    <sheet name="P3 - 10 Pts" sheetId="10" r:id="rId4"/>
    <sheet name="P4 - 15 Pts" sheetId="1" r:id="rId5"/>
    <sheet name="P5 - 15 Pts" sheetId="5" r:id="rId6"/>
  </sheets>
  <definedNames>
    <definedName name="Periods">'P1 - 30 Pts'!$O$21</definedName>
    <definedName name="_xlnm.Print_Area" localSheetId="5">'P5 - 15 Pts'!$B$35:$F$73</definedName>
    <definedName name="Rate">'P1 - 30 Pts'!$F$23</definedName>
    <definedName name="Term">'P1 - 30 Pts'!$F$22</definedName>
  </definedNames>
  <calcPr calcId="124519"/>
</workbook>
</file>

<file path=xl/calcChain.xml><?xml version="1.0" encoding="utf-8"?>
<calcChain xmlns="http://schemas.openxmlformats.org/spreadsheetml/2006/main">
  <c r="F68" i="5"/>
  <c r="F67"/>
  <c r="F63"/>
  <c r="F65" s="1"/>
  <c r="F57"/>
  <c r="F56"/>
  <c r="F55"/>
  <c r="F54"/>
  <c r="F58" s="1"/>
  <c r="F60"/>
  <c r="F53"/>
  <c r="F52"/>
  <c r="J60"/>
  <c r="I60"/>
  <c r="H60"/>
  <c r="I53"/>
  <c r="J53" s="1"/>
  <c r="H53"/>
  <c r="I52"/>
  <c r="H52"/>
  <c r="J52" s="1"/>
  <c r="F47"/>
  <c r="F46"/>
  <c r="F45"/>
  <c r="F44"/>
  <c r="F43"/>
  <c r="F42"/>
  <c r="F40"/>
  <c r="I40"/>
  <c r="H40"/>
  <c r="J40" s="1"/>
  <c r="F39"/>
  <c r="F38"/>
  <c r="J38"/>
  <c r="I38"/>
  <c r="H38"/>
  <c r="F37"/>
  <c r="D105" i="1"/>
  <c r="E89"/>
  <c r="I81"/>
  <c r="G81"/>
  <c r="E81"/>
  <c r="E80"/>
  <c r="E79"/>
  <c r="E78"/>
  <c r="E77"/>
  <c r="D62"/>
  <c r="D32"/>
  <c r="G31" i="10"/>
  <c r="G23"/>
  <c r="G19"/>
  <c r="D11" i="9"/>
  <c r="D10"/>
  <c r="D9"/>
  <c r="D8"/>
  <c r="D7"/>
  <c r="F69" i="5" l="1"/>
  <c r="F72" s="1"/>
  <c r="G30" i="2"/>
  <c r="O21"/>
  <c r="D31" s="1"/>
  <c r="D35" s="1"/>
  <c r="E31" l="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32"/>
  <c r="D36"/>
  <c r="D33"/>
  <c r="D37"/>
  <c r="F31"/>
  <c r="G31" s="1"/>
  <c r="E32" s="1"/>
  <c r="D38"/>
  <c r="D34"/>
  <c r="D50"/>
  <c r="D49"/>
  <c r="D48"/>
  <c r="D47"/>
  <c r="D46"/>
  <c r="D45"/>
  <c r="D44"/>
  <c r="D43"/>
  <c r="D42"/>
  <c r="D41"/>
  <c r="D40"/>
  <c r="D39"/>
  <c r="E46" i="1"/>
  <c r="E47" s="1"/>
  <c r="E48" s="1"/>
  <c r="E49" s="1"/>
  <c r="E50" s="1"/>
  <c r="E51" s="1"/>
  <c r="E52" s="1"/>
  <c r="E16"/>
  <c r="E17" s="1"/>
  <c r="E20" s="1"/>
  <c r="F32" i="2" l="1"/>
  <c r="G32" s="1"/>
  <c r="E33" s="1"/>
  <c r="F33" s="1"/>
  <c r="G33" s="1"/>
  <c r="E34" s="1"/>
  <c r="F34" s="1"/>
  <c r="G34" s="1"/>
  <c r="E18" i="1"/>
  <c r="E19" s="1"/>
  <c r="E35" i="2" l="1"/>
  <c r="F35" s="1"/>
  <c r="G35" s="1"/>
  <c r="E36" s="1"/>
  <c r="F36" s="1"/>
  <c r="G36" s="1"/>
  <c r="E37" l="1"/>
  <c r="F37" s="1"/>
  <c r="G37" s="1"/>
  <c r="G38" l="1"/>
  <c r="E38"/>
  <c r="F38" s="1"/>
  <c r="E39" l="1"/>
  <c r="F39" s="1"/>
  <c r="G39" s="1"/>
  <c r="E40" l="1"/>
  <c r="F40" s="1"/>
  <c r="G40" s="1"/>
  <c r="E41" l="1"/>
  <c r="F41" s="1"/>
  <c r="G41" s="1"/>
  <c r="E42" l="1"/>
  <c r="F42" s="1"/>
  <c r="G42" s="1"/>
  <c r="E43" l="1"/>
  <c r="F43" s="1"/>
  <c r="G43" s="1"/>
  <c r="E44" l="1"/>
  <c r="F44" s="1"/>
  <c r="G44" s="1"/>
  <c r="E45" l="1"/>
  <c r="F45" s="1"/>
  <c r="G45" s="1"/>
  <c r="E46" l="1"/>
  <c r="F46" s="1"/>
  <c r="G46" s="1"/>
  <c r="E47" l="1"/>
  <c r="F47" s="1"/>
  <c r="G47" s="1"/>
  <c r="E48" l="1"/>
  <c r="F48" s="1"/>
  <c r="G48" s="1"/>
  <c r="E49" l="1"/>
  <c r="F49" s="1"/>
  <c r="G49" s="1"/>
  <c r="E50" l="1"/>
  <c r="F50" s="1"/>
  <c r="G50" s="1"/>
  <c r="E51" l="1"/>
  <c r="F51" s="1"/>
  <c r="G51" s="1"/>
  <c r="E52" l="1"/>
  <c r="F52" s="1"/>
  <c r="G52" s="1"/>
  <c r="E53" l="1"/>
  <c r="F53" s="1"/>
  <c r="G53" s="1"/>
  <c r="E54" l="1"/>
  <c r="F54" s="1"/>
  <c r="G54" s="1"/>
  <c r="E55" l="1"/>
  <c r="F55" s="1"/>
  <c r="G55" s="1"/>
  <c r="E56" l="1"/>
  <c r="F56" s="1"/>
  <c r="G56" s="1"/>
  <c r="E57" l="1"/>
  <c r="F57" s="1"/>
  <c r="G57" s="1"/>
  <c r="E58" l="1"/>
  <c r="F58" s="1"/>
  <c r="G58" s="1"/>
  <c r="E59" l="1"/>
  <c r="F59" s="1"/>
  <c r="G59" s="1"/>
  <c r="E60" l="1"/>
  <c r="F60" s="1"/>
  <c r="G60" s="1"/>
  <c r="E61" l="1"/>
  <c r="F61" s="1"/>
  <c r="G61" s="1"/>
  <c r="E62" l="1"/>
  <c r="F62" s="1"/>
  <c r="G62" s="1"/>
  <c r="E63" l="1"/>
  <c r="F63" s="1"/>
  <c r="G63" s="1"/>
  <c r="E64" l="1"/>
  <c r="F64" s="1"/>
  <c r="G64" s="1"/>
  <c r="E65" l="1"/>
  <c r="F65" s="1"/>
  <c r="G65" s="1"/>
  <c r="E66" l="1"/>
  <c r="F66" s="1"/>
  <c r="G66" s="1"/>
  <c r="E67" l="1"/>
  <c r="F67" s="1"/>
  <c r="G67" s="1"/>
  <c r="G68" l="1"/>
  <c r="E68"/>
  <c r="F68" s="1"/>
  <c r="E69" l="1"/>
  <c r="F69" s="1"/>
  <c r="G69" s="1"/>
  <c r="E70" l="1"/>
  <c r="F70" s="1"/>
  <c r="G70" s="1"/>
  <c r="E71" l="1"/>
  <c r="F71" s="1"/>
  <c r="G71" s="1"/>
  <c r="E72" l="1"/>
  <c r="F72" s="1"/>
  <c r="G72" s="1"/>
  <c r="E73" l="1"/>
  <c r="F73" s="1"/>
  <c r="G73" s="1"/>
  <c r="E74" l="1"/>
  <c r="F74" s="1"/>
  <c r="G74" s="1"/>
  <c r="E75" l="1"/>
  <c r="F75" s="1"/>
  <c r="G75" s="1"/>
  <c r="E76" l="1"/>
  <c r="F76" s="1"/>
  <c r="G76" s="1"/>
  <c r="E77" l="1"/>
  <c r="F77" s="1"/>
  <c r="G77" s="1"/>
  <c r="E78" l="1"/>
  <c r="F78" s="1"/>
  <c r="G78" s="1"/>
  <c r="E79" l="1"/>
  <c r="F79" s="1"/>
  <c r="G79" s="1"/>
  <c r="E80" l="1"/>
  <c r="F80" s="1"/>
  <c r="G80" s="1"/>
  <c r="E81" l="1"/>
  <c r="F81" s="1"/>
  <c r="G81" s="1"/>
  <c r="E82" l="1"/>
  <c r="F82" s="1"/>
  <c r="G82" s="1"/>
  <c r="E83" l="1"/>
  <c r="F83" s="1"/>
  <c r="G83" s="1"/>
  <c r="E84" l="1"/>
  <c r="F84" s="1"/>
  <c r="G84" s="1"/>
  <c r="E85" l="1"/>
  <c r="F85" s="1"/>
  <c r="G85" s="1"/>
  <c r="E86" l="1"/>
  <c r="F86" s="1"/>
  <c r="G86" s="1"/>
  <c r="E87" l="1"/>
  <c r="F87" s="1"/>
  <c r="G87" s="1"/>
  <c r="E88" l="1"/>
  <c r="F88" s="1"/>
  <c r="G88" s="1"/>
  <c r="E89" l="1"/>
  <c r="F89" s="1"/>
  <c r="G89" s="1"/>
  <c r="E90" l="1"/>
  <c r="F90" s="1"/>
  <c r="G90" s="1"/>
</calcChain>
</file>

<file path=xl/sharedStrings.xml><?xml version="1.0" encoding="utf-8"?>
<sst xmlns="http://schemas.openxmlformats.org/spreadsheetml/2006/main" count="170" uniqueCount="154">
  <si>
    <t>1.</t>
  </si>
  <si>
    <t>2.</t>
  </si>
  <si>
    <t>Consider the following annual cash flows, each to be received at the end of</t>
  </si>
  <si>
    <t>a year.</t>
  </si>
  <si>
    <t>Year</t>
  </si>
  <si>
    <t>Payment</t>
  </si>
  <si>
    <t xml:space="preserve"> &lt;-- Input</t>
  </si>
  <si>
    <t>Required annual return:</t>
  </si>
  <si>
    <t xml:space="preserve">The cash flows in years 1 through 6 will always be equal, but the </t>
  </si>
  <si>
    <t>cash flow in year 7 can be any number, including a negative number.</t>
  </si>
  <si>
    <t>Your formula should correctly reference the input cells above.</t>
  </si>
  <si>
    <t>3.</t>
  </si>
  <si>
    <t>of the investment today. NO NOT use the =NPV() function.</t>
  </si>
  <si>
    <t>4.</t>
  </si>
  <si>
    <t>5.</t>
  </si>
  <si>
    <t>Amount of Loan:</t>
  </si>
  <si>
    <t>Annual Interest Rate on Loan:</t>
  </si>
  <si>
    <t>Balloon Payment</t>
  </si>
  <si>
    <t>Payment
Number</t>
  </si>
  <si>
    <t>Interest</t>
  </si>
  <si>
    <t>Principal</t>
  </si>
  <si>
    <t>Balance</t>
  </si>
  <si>
    <t xml:space="preserve"> </t>
  </si>
  <si>
    <t>Annual Interest Rate</t>
  </si>
  <si>
    <t xml:space="preserve">In the green cell below, create a formala that extrapolates the linear trend from the </t>
  </si>
  <si>
    <t>5 years of sales and uses it to estimate 2010 sales.</t>
  </si>
  <si>
    <t>Sales</t>
  </si>
  <si>
    <t>CGS</t>
  </si>
  <si>
    <t>Net Income</t>
  </si>
  <si>
    <t xml:space="preserve">In the yellow cell below, create ONE formula that will return </t>
  </si>
  <si>
    <t>Input Cell for Year</t>
  </si>
  <si>
    <t xml:space="preserve">the Net Income from the table at the right for the year </t>
  </si>
  <si>
    <t>given in the input cell.</t>
  </si>
  <si>
    <t>Income Statement</t>
  </si>
  <si>
    <t>2008</t>
  </si>
  <si>
    <t>2009</t>
  </si>
  <si>
    <t>2010</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</si>
  <si>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</si>
  <si>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</si>
  <si>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</si>
  <si>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</si>
  <si>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</si>
  <si>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</si>
  <si>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</si>
  <si>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</si>
  <si>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</si>
  <si>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</si>
  <si>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</si>
  <si>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</si>
  <si>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</si>
  <si>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</si>
  <si>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</si>
  <si>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</si>
  <si>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</si>
  <si>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</si>
  <si>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</si>
  <si>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</si>
  <si>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</si>
  <si>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</si>
  <si>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</si>
  <si>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</si>
  <si>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</si>
  <si>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</si>
  <si>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</si>
  <si>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</si>
  <si>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</si>
  <si>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</si>
  <si>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</si>
  <si>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NOTHING SHOULD BE USED OR ACCESSED BY YOU DURING THIS</t>
  </si>
  <si>
    <t>TEST EXCEPT THE COMPUTER YOU ARE USING AND THIS FILE, AND</t>
  </si>
  <si>
    <t>BLACKBOARD WHEN YOU SUBMIT YOUR COMPLETED EXAM.</t>
  </si>
  <si>
    <t>YOU MAY NOT ACCESS THE INTERNET OTHER THAN TO SUBMIT</t>
  </si>
  <si>
    <t>VIDEO SURVEILLANCE IS ACTIVE.</t>
  </si>
  <si>
    <t>Points are shown on each tab. Partial credit will be given where possible.</t>
  </si>
  <si>
    <t>Percent Change in Sales from 2009</t>
  </si>
  <si>
    <t>Tax Rate for 2010</t>
  </si>
  <si>
    <t>Interest Rate on Long Term Debt</t>
  </si>
  <si>
    <t>Interest Rate on Short Term Notes Payable</t>
  </si>
  <si>
    <t>Common Stock Dividend for 2010</t>
  </si>
  <si>
    <t>Expected addition to Plant and Equipment in 2010</t>
  </si>
  <si>
    <t>Additional depreciation on new Plant/Equip in 2010</t>
  </si>
  <si>
    <t>INPUTS</t>
  </si>
  <si>
    <t>Excess/(Deficit) Financing for 2010</t>
  </si>
  <si>
    <t>Check with Dr. Hawley before you leave to be sure that your</t>
  </si>
  <si>
    <t>exam was received.</t>
  </si>
  <si>
    <t>The last page is currently blank.</t>
  </si>
  <si>
    <t>RESAVE IT OFTEN WHILE YOU ARE WORKING ON IT.</t>
  </si>
  <si>
    <t xml:space="preserve">YOUR COMPLETED EXAM IN BLACKBOARD. YOU MAY ACCESS </t>
  </si>
  <si>
    <t>EXCEL'S HELP SYSTEM.</t>
  </si>
  <si>
    <t>Payment Frequency</t>
  </si>
  <si>
    <t>INPUTS:</t>
  </si>
  <si>
    <t>Nominal Annual Interest Rate</t>
  </si>
  <si>
    <t>Annual Compounding</t>
  </si>
  <si>
    <t>Quarterly Compounding</t>
  </si>
  <si>
    <t>Monthly Compounding</t>
  </si>
  <si>
    <t>Daily Compounding</t>
  </si>
  <si>
    <t>Continous Compounding</t>
  </si>
  <si>
    <t>Effective
Annual
Rate</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</si>
  <si>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</si>
  <si>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</si>
  <si>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</si>
  <si>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</si>
  <si>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</si>
  <si>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</si>
  <si>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</si>
  <si>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</si>
  <si>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</si>
  <si>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</si>
  <si>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</si>
  <si>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Cost of the investment:</t>
  </si>
  <si>
    <t>rate of return on the investment. You formula must work for any values of the inputs.</t>
  </si>
  <si>
    <t>Consider the following annual cash flows, each to be received at the ends of</t>
  </si>
  <si>
    <t>years.</t>
  </si>
  <si>
    <t>The cash flows in years 8 through 15 will always be equal.</t>
  </si>
  <si>
    <t>In the yellow cell below, create ONE formula that computes the dollar value</t>
  </si>
  <si>
    <t>COMPUTER YOU ARE USING WITH YOUR NAME IN THE FILENAME.</t>
  </si>
  <si>
    <t>There are 6 tabbed pages in this exam spreadsheet including this one.</t>
  </si>
  <si>
    <t>Points on this portion sum to 80. There is also a 25 point objective portion of the test</t>
  </si>
  <si>
    <t xml:space="preserve">that you will take in BlackBoard. </t>
  </si>
  <si>
    <t>When you have completed this exam spreadsheet:</t>
  </si>
  <si>
    <t>Save it one last time to the desktop of your computer.</t>
  </si>
  <si>
    <t>Log in to BlackBoard</t>
  </si>
  <si>
    <t>Go to this course in the My Courses menu</t>
  </si>
  <si>
    <t>Click on Control Panel</t>
  </si>
  <si>
    <t>Click on Digital DropBox</t>
  </si>
  <si>
    <t>Click on SEND FILE (not ADD FILE)</t>
  </si>
  <si>
    <t xml:space="preserve">Use the BROWSE button and navigate to the file you saved on the desktop. </t>
  </si>
  <si>
    <t>Click the SUBMIT button to submit your exam.</t>
  </si>
  <si>
    <t>Then go to COURSE DOCUMENTS in BlackBoard and take the 25-point</t>
  </si>
  <si>
    <t>objective question portion of this exam.</t>
  </si>
  <si>
    <t>Consider the following cash flow timeline:</t>
  </si>
  <si>
    <t>Time:</t>
  </si>
  <si>
    <t>The total present value of all 6 cash flows, including the three missing ones, is $1,800</t>
  </si>
  <si>
    <t>represented by $X in the timeline, are all identical amounts. In the space below,</t>
  </si>
  <si>
    <t>hard-code the numbers in the formulas but the formulas must be shown.</t>
  </si>
  <si>
    <t xml:space="preserve">if the discount rate is 10% per year compounded annually. The three missing cash flows, </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</si>
  <si>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</si>
  <si>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</si>
  <si>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</si>
  <si>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</si>
  <si>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</si>
  <si>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</si>
  <si>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</si>
  <si>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</si>
  <si>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In the yellow cell below, create ONE formula that computes the average annual</t>
  </si>
  <si>
    <t xml:space="preserve">create whatever formulas are needed to find the value of $X. There are no inputs so you can </t>
  </si>
  <si>
    <t>PV of CF1</t>
  </si>
  <si>
    <t>PV of CF2</t>
  </si>
  <si>
    <t>PV of CF6</t>
  </si>
  <si>
    <t>Total PV</t>
  </si>
  <si>
    <t>PV of $Xs at t=0</t>
  </si>
  <si>
    <t>--&gt; t=2</t>
  </si>
  <si>
    <t>Value of $X</t>
  </si>
  <si>
    <t>Each question on this page counts 3 points.</t>
  </si>
</sst>
</file>

<file path=xl/styles.xml><?xml version="1.0" encoding="utf-8"?>
<styleSheet xmlns="http://schemas.openxmlformats.org/spreadsheetml/2006/main">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0.0000%"/>
  </numFmts>
  <fonts count="1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164" fontId="1" fillId="0" borderId="7" xfId="2" applyNumberFormat="1" applyFont="1" applyBorder="1" applyAlignment="1">
      <alignment horizontal="center"/>
    </xf>
    <xf numFmtId="164" fontId="1" fillId="0" borderId="8" xfId="2" applyNumberFormat="1" applyFont="1" applyBorder="1" applyAlignment="1">
      <alignment horizontal="center"/>
    </xf>
    <xf numFmtId="0" fontId="0" fillId="0" borderId="9" xfId="0" applyBorder="1" applyAlignment="1">
      <alignment horizontal="center"/>
    </xf>
    <xf numFmtId="9" fontId="2" fillId="0" borderId="0" xfId="0" applyNumberFormat="1" applyFon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11" xfId="0" applyBorder="1"/>
    <xf numFmtId="0" fontId="3" fillId="4" borderId="2" xfId="0" applyFont="1" applyFill="1" applyBorder="1" applyAlignment="1">
      <alignment horizontal="center" wrapText="1"/>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Alignment="1">
      <alignment horizontal="left" indent="2"/>
    </xf>
    <xf numFmtId="0" fontId="0" fillId="0" borderId="0" xfId="0" applyBorder="1"/>
    <xf numFmtId="0" fontId="3" fillId="0" borderId="0" xfId="0" applyFont="1"/>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5" borderId="16" xfId="0" applyFont="1" applyFill="1" applyBorder="1" applyAlignment="1">
      <alignment horizontal="center"/>
    </xf>
    <xf numFmtId="0" fontId="3" fillId="5" borderId="5" xfId="0" applyFont="1" applyFill="1" applyBorder="1" applyAlignment="1">
      <alignment horizontal="center"/>
    </xf>
    <xf numFmtId="0" fontId="3" fillId="5" borderId="12" xfId="0" applyFont="1" applyFill="1" applyBorder="1" applyAlignment="1">
      <alignment horizontal="center"/>
    </xf>
    <xf numFmtId="164" fontId="0" fillId="6" borderId="10"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7" borderId="17"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11" xfId="0" applyNumberFormat="1" applyBorder="1"/>
    <xf numFmtId="41" fontId="8" fillId="7" borderId="17" xfId="0" applyNumberFormat="1" applyFont="1" applyFill="1" applyBorder="1"/>
    <xf numFmtId="41" fontId="9" fillId="0" borderId="0" xfId="0" applyNumberFormat="1" applyFont="1"/>
    <xf numFmtId="41" fontId="8" fillId="0" borderId="0" xfId="0" applyNumberFormat="1" applyFont="1"/>
    <xf numFmtId="41" fontId="8" fillId="0" borderId="11" xfId="0" applyNumberFormat="1" applyFont="1" applyBorder="1"/>
    <xf numFmtId="41" fontId="3" fillId="0" borderId="11" xfId="0" applyNumberFormat="1" applyFont="1" applyBorder="1"/>
    <xf numFmtId="41" fontId="8" fillId="7" borderId="18"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11" xfId="0" applyNumberFormat="1" applyFont="1" applyBorder="1"/>
    <xf numFmtId="44" fontId="10" fillId="0" borderId="0" xfId="0" applyNumberFormat="1" applyFont="1" applyAlignment="1">
      <alignment horizontal="left" indent="1"/>
    </xf>
    <xf numFmtId="0" fontId="11" fillId="0" borderId="0" xfId="0" applyFont="1"/>
    <xf numFmtId="6" fontId="12" fillId="0" borderId="0" xfId="0" applyNumberFormat="1" applyFont="1"/>
    <xf numFmtId="41" fontId="3" fillId="0" borderId="0" xfId="0" applyNumberFormat="1" applyFont="1" applyAlignment="1">
      <alignment horizontal="left" indent="5"/>
    </xf>
    <xf numFmtId="41" fontId="3" fillId="0" borderId="11" xfId="0" applyNumberFormat="1" applyFont="1" applyBorder="1" applyAlignment="1">
      <alignment horizontal="left" indent="5"/>
    </xf>
    <xf numFmtId="6" fontId="12" fillId="0" borderId="11" xfId="0" applyNumberFormat="1" applyFont="1" applyBorder="1"/>
    <xf numFmtId="166" fontId="12" fillId="0" borderId="0" xfId="0" applyNumberFormat="1" applyFont="1"/>
    <xf numFmtId="165" fontId="12" fillId="0" borderId="0" xfId="0" applyNumberFormat="1" applyFont="1"/>
    <xf numFmtId="0" fontId="0" fillId="0" borderId="0" xfId="0" applyAlignment="1">
      <alignment horizontal="left" indent="3"/>
    </xf>
    <xf numFmtId="0" fontId="0" fillId="0" borderId="11"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5" borderId="6" xfId="2" applyNumberFormat="1" applyFont="1" applyFill="1" applyBorder="1"/>
    <xf numFmtId="164" fontId="0" fillId="5" borderId="7" xfId="2" applyNumberFormat="1" applyFont="1" applyFill="1" applyBorder="1"/>
    <xf numFmtId="0" fontId="3" fillId="0" borderId="0" xfId="0" applyFont="1" applyAlignment="1">
      <alignment horizontal="center" wrapText="1"/>
    </xf>
    <xf numFmtId="164" fontId="0" fillId="0" borderId="0" xfId="0" applyNumberFormat="1"/>
    <xf numFmtId="164" fontId="2" fillId="0" borderId="0" xfId="0" applyNumberFormat="1" applyFont="1"/>
    <xf numFmtId="166" fontId="2" fillId="0" borderId="0" xfId="3" applyNumberFormat="1" applyFont="1"/>
    <xf numFmtId="0" fontId="0" fillId="2" borderId="1" xfId="0" applyNumberFormat="1" applyFill="1" applyBorder="1"/>
    <xf numFmtId="9" fontId="0" fillId="0" borderId="0" xfId="0" applyNumberFormat="1"/>
    <xf numFmtId="164" fontId="2" fillId="3" borderId="20" xfId="2" applyNumberFormat="1" applyFont="1" applyFill="1" applyBorder="1" applyAlignment="1">
      <alignment horizontal="center"/>
    </xf>
    <xf numFmtId="164" fontId="2" fillId="3" borderId="21" xfId="2" applyNumberFormat="1" applyFont="1" applyFill="1" applyBorder="1" applyAlignment="1">
      <alignment horizontal="center"/>
    </xf>
    <xf numFmtId="164" fontId="2" fillId="0" borderId="15" xfId="2" applyNumberFormat="1" applyFont="1" applyBorder="1" applyAlignment="1">
      <alignment horizontal="center"/>
    </xf>
    <xf numFmtId="164" fontId="1" fillId="0" borderId="22" xfId="2" applyNumberFormat="1" applyFont="1" applyBorder="1" applyAlignment="1">
      <alignment horizontal="center"/>
    </xf>
    <xf numFmtId="0" fontId="3" fillId="0" borderId="23" xfId="0" applyFont="1" applyBorder="1" applyAlignment="1">
      <alignment horizontal="center"/>
    </xf>
    <xf numFmtId="0" fontId="0" fillId="0" borderId="19" xfId="0" applyBorder="1" applyAlignment="1">
      <alignment horizontal="center"/>
    </xf>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167" fontId="0" fillId="0" borderId="0" xfId="0" applyNumberFormat="1" applyFont="1"/>
    <xf numFmtId="167" fontId="0" fillId="0" borderId="0" xfId="3" applyNumberFormat="1" applyFont="1"/>
    <xf numFmtId="8" fontId="0" fillId="2" borderId="1" xfId="0" applyNumberFormat="1" applyFill="1" applyBorder="1"/>
    <xf numFmtId="10" fontId="0" fillId="0" borderId="0" xfId="0" applyNumberFormat="1"/>
    <xf numFmtId="165" fontId="0" fillId="2" borderId="14" xfId="2" applyNumberFormat="1" applyFont="1" applyFill="1" applyBorder="1"/>
    <xf numFmtId="165" fontId="0" fillId="2" borderId="15" xfId="2" applyNumberFormat="1" applyFont="1" applyFill="1" applyBorder="1"/>
    <xf numFmtId="44" fontId="0" fillId="2" borderId="14" xfId="2" applyFont="1" applyFill="1" applyBorder="1"/>
    <xf numFmtId="44" fontId="0" fillId="2" borderId="15" xfId="2" applyFont="1" applyFill="1" applyBorder="1"/>
    <xf numFmtId="41" fontId="7" fillId="0" borderId="11" xfId="0" applyNumberFormat="1" applyFont="1" applyBorder="1" applyAlignment="1">
      <alignment horizontal="center"/>
    </xf>
    <xf numFmtId="41" fontId="8" fillId="7" borderId="18" xfId="0" applyNumberFormat="1" applyFont="1" applyFill="1" applyBorder="1" applyAlignment="1">
      <alignment horizontal="center" vertical="center"/>
    </xf>
    <xf numFmtId="41" fontId="8" fillId="7" borderId="18" xfId="0" quotePrefix="1" applyNumberFormat="1"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28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5% and 15%.</a:t>
          </a:r>
        </a:p>
        <a:p>
          <a:r>
            <a:rPr lang="en-US" sz="1100" baseline="0"/>
            <a:t>The payment frequency can be annual, quarterly, or monthly. Use a drop-down list in Cell F24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146050</xdr:colOff>
      <xdr:row>1</xdr:row>
      <xdr:rowOff>114300</xdr:rowOff>
    </xdr:from>
    <xdr:to>
      <xdr:col>6</xdr:col>
      <xdr:colOff>819150</xdr:colOff>
      <xdr:row>8</xdr:row>
      <xdr:rowOff>88900</xdr:rowOff>
    </xdr:to>
    <xdr:sp macro="" textlink="">
      <xdr:nvSpPr>
        <xdr:cNvPr id="2" name="TextBox 1"/>
        <xdr:cNvSpPr txBox="1"/>
      </xdr:nvSpPr>
      <xdr:spPr>
        <a:xfrm>
          <a:off x="3365500" y="298450"/>
          <a:ext cx="2857500" cy="1746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Create forumulas in cells D7 to D11 that compute the effective annual interest rates for the nominal rate input in D3 and the listed compounding</a:t>
          </a:r>
          <a:r>
            <a:rPr lang="en-US" sz="1100" baseline="0"/>
            <a:t> frequencies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265043</xdr:colOff>
      <xdr:row>66</xdr:row>
      <xdr:rowOff>171173</xdr:rowOff>
    </xdr:from>
    <xdr:to>
      <xdr:col>7</xdr:col>
      <xdr:colOff>342348</xdr:colOff>
      <xdr:row>66</xdr:row>
      <xdr:rowOff>171173</xdr:rowOff>
    </xdr:to>
    <xdr:cxnSp macro="">
      <xdr:nvCxnSpPr>
        <xdr:cNvPr id="4" name="Straight Connector 3"/>
        <xdr:cNvCxnSpPr/>
      </xdr:nvCxnSpPr>
      <xdr:spPr>
        <a:xfrm>
          <a:off x="773043" y="12854608"/>
          <a:ext cx="4091609" cy="0"/>
        </a:xfrm>
        <a:prstGeom prst="line">
          <a:avLst/>
        </a:prstGeom>
        <a:ln w="38100"/>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258729</xdr:colOff>
      <xdr:row>66</xdr:row>
      <xdr:rowOff>72574</xdr:rowOff>
    </xdr:from>
    <xdr:to>
      <xdr:col>2</xdr:col>
      <xdr:colOff>260317</xdr:colOff>
      <xdr:row>67</xdr:row>
      <xdr:rowOff>105706</xdr:rowOff>
    </xdr:to>
    <xdr:cxnSp macro="">
      <xdr:nvCxnSpPr>
        <xdr:cNvPr id="6" name="Straight Connector 5"/>
        <xdr:cNvCxnSpPr/>
      </xdr:nvCxnSpPr>
      <xdr:spPr>
        <a:xfrm rot="5400000">
          <a:off x="659848" y="12862890"/>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4729</xdr:colOff>
      <xdr:row>66</xdr:row>
      <xdr:rowOff>67053</xdr:rowOff>
    </xdr:from>
    <xdr:to>
      <xdr:col>3</xdr:col>
      <xdr:colOff>6317</xdr:colOff>
      <xdr:row>67</xdr:row>
      <xdr:rowOff>100185</xdr:rowOff>
    </xdr:to>
    <xdr:cxnSp macro="">
      <xdr:nvCxnSpPr>
        <xdr:cNvPr id="9" name="Straight Connector 8"/>
        <xdr:cNvCxnSpPr/>
      </xdr:nvCxnSpPr>
      <xdr:spPr>
        <a:xfrm rot="5400000">
          <a:off x="1283805" y="13039586"/>
          <a:ext cx="215350"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3</xdr:col>
      <xdr:colOff>728076</xdr:colOff>
      <xdr:row>66</xdr:row>
      <xdr:rowOff>72575</xdr:rowOff>
    </xdr:from>
    <xdr:to>
      <xdr:col>3</xdr:col>
      <xdr:colOff>729664</xdr:colOff>
      <xdr:row>67</xdr:row>
      <xdr:rowOff>105707</xdr:rowOff>
    </xdr:to>
    <xdr:cxnSp macro="">
      <xdr:nvCxnSpPr>
        <xdr:cNvPr id="10" name="Straight Connector 9"/>
        <xdr:cNvCxnSpPr/>
      </xdr:nvCxnSpPr>
      <xdr:spPr>
        <a:xfrm rot="5400000">
          <a:off x="2007152" y="13045108"/>
          <a:ext cx="215350"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4</xdr:col>
      <xdr:colOff>518251</xdr:colOff>
      <xdr:row>66</xdr:row>
      <xdr:rowOff>72576</xdr:rowOff>
    </xdr:from>
    <xdr:to>
      <xdr:col>4</xdr:col>
      <xdr:colOff>519839</xdr:colOff>
      <xdr:row>67</xdr:row>
      <xdr:rowOff>105708</xdr:rowOff>
    </xdr:to>
    <xdr:cxnSp macro="">
      <xdr:nvCxnSpPr>
        <xdr:cNvPr id="11" name="Straight Connector 10"/>
        <xdr:cNvCxnSpPr/>
      </xdr:nvCxnSpPr>
      <xdr:spPr>
        <a:xfrm rot="5400000">
          <a:off x="2758109" y="13045109"/>
          <a:ext cx="215350"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5</xdr:col>
      <xdr:colOff>231119</xdr:colOff>
      <xdr:row>66</xdr:row>
      <xdr:rowOff>83622</xdr:rowOff>
    </xdr:from>
    <xdr:to>
      <xdr:col>5</xdr:col>
      <xdr:colOff>232707</xdr:colOff>
      <xdr:row>67</xdr:row>
      <xdr:rowOff>116754</xdr:rowOff>
    </xdr:to>
    <xdr:cxnSp macro="">
      <xdr:nvCxnSpPr>
        <xdr:cNvPr id="12" name="Straight Connector 11"/>
        <xdr:cNvCxnSpPr/>
      </xdr:nvCxnSpPr>
      <xdr:spPr>
        <a:xfrm rot="5400000">
          <a:off x="3431760" y="13056155"/>
          <a:ext cx="215350"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7</xdr:col>
      <xdr:colOff>324990</xdr:colOff>
      <xdr:row>66</xdr:row>
      <xdr:rowOff>78100</xdr:rowOff>
    </xdr:from>
    <xdr:to>
      <xdr:col>7</xdr:col>
      <xdr:colOff>326578</xdr:colOff>
      <xdr:row>67</xdr:row>
      <xdr:rowOff>111232</xdr:rowOff>
    </xdr:to>
    <xdr:cxnSp macro="">
      <xdr:nvCxnSpPr>
        <xdr:cNvPr id="13" name="Straight Connector 12"/>
        <xdr:cNvCxnSpPr/>
      </xdr:nvCxnSpPr>
      <xdr:spPr>
        <a:xfrm rot="5400000">
          <a:off x="4740413" y="12868416"/>
          <a:ext cx="215349"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2</xdr:col>
      <xdr:colOff>761999</xdr:colOff>
      <xdr:row>65</xdr:row>
      <xdr:rowOff>27608</xdr:rowOff>
    </xdr:from>
    <xdr:to>
      <xdr:col>3</xdr:col>
      <xdr:colOff>204303</xdr:colOff>
      <xdr:row>66</xdr:row>
      <xdr:rowOff>66261</xdr:rowOff>
    </xdr:to>
    <xdr:sp macro="" textlink="">
      <xdr:nvSpPr>
        <xdr:cNvPr id="14" name="TextBox 13"/>
        <xdr:cNvSpPr txBox="1"/>
      </xdr:nvSpPr>
      <xdr:spPr>
        <a:xfrm>
          <a:off x="1269999" y="12711043"/>
          <a:ext cx="320261" cy="220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a:t>
          </a:r>
        </a:p>
      </xdr:txBody>
    </xdr:sp>
    <xdr:clientData/>
  </xdr:twoCellAnchor>
  <xdr:twoCellAnchor>
    <xdr:from>
      <xdr:col>3</xdr:col>
      <xdr:colOff>629477</xdr:colOff>
      <xdr:row>65</xdr:row>
      <xdr:rowOff>27607</xdr:rowOff>
    </xdr:from>
    <xdr:to>
      <xdr:col>3</xdr:col>
      <xdr:colOff>855868</xdr:colOff>
      <xdr:row>66</xdr:row>
      <xdr:rowOff>71782</xdr:rowOff>
    </xdr:to>
    <xdr:sp macro="" textlink="">
      <xdr:nvSpPr>
        <xdr:cNvPr id="15" name="TextBox 14"/>
        <xdr:cNvSpPr txBox="1"/>
      </xdr:nvSpPr>
      <xdr:spPr>
        <a:xfrm>
          <a:off x="2015434" y="12711042"/>
          <a:ext cx="226391" cy="226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2</a:t>
          </a:r>
        </a:p>
      </xdr:txBody>
    </xdr:sp>
    <xdr:clientData/>
  </xdr:twoCellAnchor>
  <xdr:twoCellAnchor>
    <xdr:from>
      <xdr:col>4</xdr:col>
      <xdr:colOff>430695</xdr:colOff>
      <xdr:row>65</xdr:row>
      <xdr:rowOff>33129</xdr:rowOff>
    </xdr:from>
    <xdr:to>
      <xdr:col>4</xdr:col>
      <xdr:colOff>651565</xdr:colOff>
      <xdr:row>66</xdr:row>
      <xdr:rowOff>104913</xdr:rowOff>
    </xdr:to>
    <xdr:sp macro="" textlink="">
      <xdr:nvSpPr>
        <xdr:cNvPr id="16" name="TextBox 15"/>
        <xdr:cNvSpPr txBox="1"/>
      </xdr:nvSpPr>
      <xdr:spPr>
        <a:xfrm>
          <a:off x="2777434" y="12716564"/>
          <a:ext cx="220870" cy="254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3</a:t>
          </a:r>
        </a:p>
      </xdr:txBody>
    </xdr:sp>
    <xdr:clientData/>
  </xdr:twoCellAnchor>
  <xdr:twoCellAnchor>
    <xdr:from>
      <xdr:col>5</xdr:col>
      <xdr:colOff>66259</xdr:colOff>
      <xdr:row>65</xdr:row>
      <xdr:rowOff>33130</xdr:rowOff>
    </xdr:from>
    <xdr:to>
      <xdr:col>5</xdr:col>
      <xdr:colOff>403086</xdr:colOff>
      <xdr:row>66</xdr:row>
      <xdr:rowOff>77305</xdr:rowOff>
    </xdr:to>
    <xdr:sp macro="" textlink="">
      <xdr:nvSpPr>
        <xdr:cNvPr id="17" name="TextBox 16"/>
        <xdr:cNvSpPr txBox="1"/>
      </xdr:nvSpPr>
      <xdr:spPr>
        <a:xfrm>
          <a:off x="3373781" y="12716565"/>
          <a:ext cx="336827" cy="226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4</a:t>
          </a:r>
        </a:p>
      </xdr:txBody>
    </xdr:sp>
    <xdr:clientData/>
  </xdr:twoCellAnchor>
  <xdr:twoCellAnchor>
    <xdr:from>
      <xdr:col>6</xdr:col>
      <xdr:colOff>115957</xdr:colOff>
      <xdr:row>65</xdr:row>
      <xdr:rowOff>11043</xdr:rowOff>
    </xdr:from>
    <xdr:to>
      <xdr:col>6</xdr:col>
      <xdr:colOff>358913</xdr:colOff>
      <xdr:row>66</xdr:row>
      <xdr:rowOff>99392</xdr:rowOff>
    </xdr:to>
    <xdr:sp macro="" textlink="">
      <xdr:nvSpPr>
        <xdr:cNvPr id="18" name="TextBox 17"/>
        <xdr:cNvSpPr txBox="1"/>
      </xdr:nvSpPr>
      <xdr:spPr>
        <a:xfrm>
          <a:off x="4030870" y="12694478"/>
          <a:ext cx="242956" cy="270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a:t>
          </a:r>
        </a:p>
      </xdr:txBody>
    </xdr:sp>
    <xdr:clientData/>
  </xdr:twoCellAnchor>
  <xdr:twoCellAnchor>
    <xdr:from>
      <xdr:col>2</xdr:col>
      <xdr:colOff>154610</xdr:colOff>
      <xdr:row>64</xdr:row>
      <xdr:rowOff>182217</xdr:rowOff>
    </xdr:from>
    <xdr:to>
      <xdr:col>2</xdr:col>
      <xdr:colOff>386522</xdr:colOff>
      <xdr:row>66</xdr:row>
      <xdr:rowOff>66261</xdr:rowOff>
    </xdr:to>
    <xdr:sp macro="" textlink="">
      <xdr:nvSpPr>
        <xdr:cNvPr id="19" name="TextBox 18"/>
        <xdr:cNvSpPr txBox="1"/>
      </xdr:nvSpPr>
      <xdr:spPr>
        <a:xfrm>
          <a:off x="662610" y="12683434"/>
          <a:ext cx="231912" cy="248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0</a:t>
          </a:r>
        </a:p>
      </xdr:txBody>
    </xdr:sp>
    <xdr:clientData/>
  </xdr:twoCellAnchor>
  <xdr:twoCellAnchor>
    <xdr:from>
      <xdr:col>2</xdr:col>
      <xdr:colOff>651565</xdr:colOff>
      <xdr:row>67</xdr:row>
      <xdr:rowOff>132521</xdr:rowOff>
    </xdr:from>
    <xdr:to>
      <xdr:col>3</xdr:col>
      <xdr:colOff>248477</xdr:colOff>
      <xdr:row>68</xdr:row>
      <xdr:rowOff>171174</xdr:rowOff>
    </xdr:to>
    <xdr:sp macro="" textlink="">
      <xdr:nvSpPr>
        <xdr:cNvPr id="20" name="TextBox 19"/>
        <xdr:cNvSpPr txBox="1"/>
      </xdr:nvSpPr>
      <xdr:spPr>
        <a:xfrm>
          <a:off x="1159565" y="13180391"/>
          <a:ext cx="474869" cy="220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$100</a:t>
          </a:r>
        </a:p>
      </xdr:txBody>
    </xdr:sp>
    <xdr:clientData/>
  </xdr:twoCellAnchor>
  <xdr:twoCellAnchor>
    <xdr:from>
      <xdr:col>3</xdr:col>
      <xdr:colOff>463827</xdr:colOff>
      <xdr:row>67</xdr:row>
      <xdr:rowOff>154609</xdr:rowOff>
    </xdr:from>
    <xdr:to>
      <xdr:col>3</xdr:col>
      <xdr:colOff>938696</xdr:colOff>
      <xdr:row>69</xdr:row>
      <xdr:rowOff>11045</xdr:rowOff>
    </xdr:to>
    <xdr:sp macro="" textlink="">
      <xdr:nvSpPr>
        <xdr:cNvPr id="21" name="TextBox 20"/>
        <xdr:cNvSpPr txBox="1"/>
      </xdr:nvSpPr>
      <xdr:spPr>
        <a:xfrm>
          <a:off x="1849784" y="13202479"/>
          <a:ext cx="474869" cy="220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$200</a:t>
          </a:r>
        </a:p>
      </xdr:txBody>
    </xdr:sp>
    <xdr:clientData/>
  </xdr:twoCellAnchor>
  <xdr:twoCellAnchor>
    <xdr:from>
      <xdr:col>7</xdr:col>
      <xdr:colOff>77307</xdr:colOff>
      <xdr:row>67</xdr:row>
      <xdr:rowOff>143565</xdr:rowOff>
    </xdr:from>
    <xdr:to>
      <xdr:col>7</xdr:col>
      <xdr:colOff>552176</xdr:colOff>
      <xdr:row>69</xdr:row>
      <xdr:rowOff>1</xdr:rowOff>
    </xdr:to>
    <xdr:sp macro="" textlink="">
      <xdr:nvSpPr>
        <xdr:cNvPr id="22" name="TextBox 21"/>
        <xdr:cNvSpPr txBox="1"/>
      </xdr:nvSpPr>
      <xdr:spPr>
        <a:xfrm>
          <a:off x="4599611" y="13191435"/>
          <a:ext cx="474869" cy="220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$500</a:t>
          </a:r>
        </a:p>
      </xdr:txBody>
    </xdr:sp>
    <xdr:clientData/>
  </xdr:twoCellAnchor>
  <xdr:twoCellAnchor>
    <xdr:from>
      <xdr:col>6</xdr:col>
      <xdr:colOff>220075</xdr:colOff>
      <xdr:row>66</xdr:row>
      <xdr:rowOff>61535</xdr:rowOff>
    </xdr:from>
    <xdr:to>
      <xdr:col>6</xdr:col>
      <xdr:colOff>221663</xdr:colOff>
      <xdr:row>67</xdr:row>
      <xdr:rowOff>94667</xdr:rowOff>
    </xdr:to>
    <xdr:cxnSp macro="">
      <xdr:nvCxnSpPr>
        <xdr:cNvPr id="23" name="Straight Connector 22"/>
        <xdr:cNvCxnSpPr/>
      </xdr:nvCxnSpPr>
      <xdr:spPr>
        <a:xfrm rot="5400000">
          <a:off x="4028107" y="13034068"/>
          <a:ext cx="215350" cy="1588"/>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twoCellAnchor>
    <xdr:from>
      <xdr:col>7</xdr:col>
      <xdr:colOff>171175</xdr:colOff>
      <xdr:row>64</xdr:row>
      <xdr:rowOff>182217</xdr:rowOff>
    </xdr:from>
    <xdr:to>
      <xdr:col>7</xdr:col>
      <xdr:colOff>414131</xdr:colOff>
      <xdr:row>66</xdr:row>
      <xdr:rowOff>88348</xdr:rowOff>
    </xdr:to>
    <xdr:sp macro="" textlink="">
      <xdr:nvSpPr>
        <xdr:cNvPr id="24" name="TextBox 23"/>
        <xdr:cNvSpPr txBox="1"/>
      </xdr:nvSpPr>
      <xdr:spPr>
        <a:xfrm>
          <a:off x="4693479" y="12683434"/>
          <a:ext cx="242956" cy="270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6</a:t>
          </a:r>
        </a:p>
      </xdr:txBody>
    </xdr:sp>
    <xdr:clientData/>
  </xdr:twoCellAnchor>
  <xdr:twoCellAnchor>
    <xdr:from>
      <xdr:col>4</xdr:col>
      <xdr:colOff>369957</xdr:colOff>
      <xdr:row>67</xdr:row>
      <xdr:rowOff>171172</xdr:rowOff>
    </xdr:from>
    <xdr:to>
      <xdr:col>4</xdr:col>
      <xdr:colOff>739913</xdr:colOff>
      <xdr:row>69</xdr:row>
      <xdr:rowOff>33130</xdr:rowOff>
    </xdr:to>
    <xdr:sp macro="" textlink="">
      <xdr:nvSpPr>
        <xdr:cNvPr id="25" name="TextBox 24"/>
        <xdr:cNvSpPr txBox="1"/>
      </xdr:nvSpPr>
      <xdr:spPr>
        <a:xfrm>
          <a:off x="2716696" y="13219042"/>
          <a:ext cx="369956" cy="226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5</xdr:col>
      <xdr:colOff>38652</xdr:colOff>
      <xdr:row>67</xdr:row>
      <xdr:rowOff>165651</xdr:rowOff>
    </xdr:from>
    <xdr:to>
      <xdr:col>5</xdr:col>
      <xdr:colOff>408608</xdr:colOff>
      <xdr:row>69</xdr:row>
      <xdr:rowOff>27609</xdr:rowOff>
    </xdr:to>
    <xdr:sp macro="" textlink="">
      <xdr:nvSpPr>
        <xdr:cNvPr id="26" name="TextBox 25"/>
        <xdr:cNvSpPr txBox="1"/>
      </xdr:nvSpPr>
      <xdr:spPr>
        <a:xfrm>
          <a:off x="3346174" y="13213521"/>
          <a:ext cx="369956" cy="226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6</xdr:col>
      <xdr:colOff>71783</xdr:colOff>
      <xdr:row>67</xdr:row>
      <xdr:rowOff>171172</xdr:rowOff>
    </xdr:from>
    <xdr:to>
      <xdr:col>6</xdr:col>
      <xdr:colOff>441739</xdr:colOff>
      <xdr:row>69</xdr:row>
      <xdr:rowOff>33130</xdr:rowOff>
    </xdr:to>
    <xdr:sp macro="" textlink="">
      <xdr:nvSpPr>
        <xdr:cNvPr id="27" name="TextBox 26"/>
        <xdr:cNvSpPr txBox="1"/>
      </xdr:nvSpPr>
      <xdr:spPr>
        <a:xfrm>
          <a:off x="3986696" y="13219042"/>
          <a:ext cx="369956" cy="226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You</a:t>
          </a:r>
          <a:r>
            <a:rPr lang="en-US" sz="1100" b="1" baseline="0">
              <a:solidFill>
                <a:schemeClr val="dk1"/>
              </a:solidFill>
              <a:latin typeface="+mn-lt"/>
              <a:ea typeface="+mn-ea"/>
              <a:cs typeface="+mn-cs"/>
            </a:rPr>
            <a:t> need forecast the 2010 pro forma income statement and balance sheet for the firm whose 2008 and 2009 income statements and balance sheets are given here. </a:t>
          </a:r>
          <a:r>
            <a:rPr lang="en-US" sz="1100" b="1">
              <a:solidFill>
                <a:schemeClr val="dk1"/>
              </a:solidFill>
              <a:latin typeface="+mn-lt"/>
              <a:ea typeface="+mn-ea"/>
              <a:cs typeface="+mn-cs"/>
            </a:rPr>
            <a:t>Inputs are provided for most items</a:t>
          </a:r>
          <a:r>
            <a:rPr lang="en-US" sz="1100" b="1" baseline="0">
              <a:solidFill>
                <a:schemeClr val="dk1"/>
              </a:solidFill>
              <a:latin typeface="+mn-lt"/>
              <a:ea typeface="+mn-ea"/>
              <a:cs typeface="+mn-cs"/>
            </a:rPr>
            <a:t> in the Inputs section below.</a:t>
          </a:r>
          <a:r>
            <a:rPr lang="en-US" sz="1100" b="1">
              <a:solidFill>
                <a:schemeClr val="dk1"/>
              </a:solidFill>
              <a:latin typeface="+mn-lt"/>
              <a:ea typeface="+mn-ea"/>
              <a:cs typeface="+mn-cs"/>
            </a:rPr>
            <a:t> </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The cost of goods sold in 2010 is expected to change with sales by 110% of the two-year arithmetic average of the proportion of this item in relation to sales</a:t>
          </a:r>
          <a:r>
            <a:rPr lang="en-US" sz="1100" b="1" baseline="0">
              <a:solidFill>
                <a:schemeClr val="dk1"/>
              </a:solidFill>
              <a:latin typeface="+mn-lt"/>
              <a:ea typeface="+mn-ea"/>
              <a:cs typeface="+mn-cs"/>
            </a:rPr>
            <a:t> for 2008 and 2009.  </a:t>
          </a:r>
          <a:r>
            <a:rPr lang="en-US" sz="1100" b="1">
              <a:solidFill>
                <a:schemeClr val="dk1"/>
              </a:solidFill>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latin typeface="+mn-lt"/>
              <a:ea typeface="+mn-ea"/>
              <a:cs typeface="+mn-cs"/>
            </a:rPr>
            <a:t> for 2008 and 2009</a:t>
          </a:r>
          <a:r>
            <a:rPr lang="en-US" sz="1100" b="1">
              <a:solidFill>
                <a:schemeClr val="dk1"/>
              </a:solidFill>
              <a:latin typeface="+mn-lt"/>
              <a:ea typeface="+mn-ea"/>
              <a:cs typeface="+mn-cs"/>
            </a:rPr>
            <a:t>.  The firm has planned an investment of $150,000 in new equipment </a:t>
          </a:r>
          <a:r>
            <a:rPr lang="en-US" sz="1100" b="1" baseline="0">
              <a:solidFill>
                <a:schemeClr val="dk1"/>
              </a:solidFill>
              <a:latin typeface="+mn-lt"/>
              <a:ea typeface="+mn-ea"/>
              <a:cs typeface="+mn-cs"/>
            </a:rPr>
            <a:t>in 2010.  This equipment will be depreciated at $20,000 per year. Depreciation on existing Plant/Equipment will be the same as it was in 2009. </a:t>
          </a:r>
          <a:r>
            <a:rPr lang="en-US" sz="1100" b="1">
              <a:solidFill>
                <a:schemeClr val="dk1"/>
              </a:solidFill>
              <a:latin typeface="+mn-lt"/>
              <a:ea typeface="+mn-ea"/>
              <a:cs typeface="+mn-cs"/>
            </a:rPr>
            <a:t>Interest expense</a:t>
          </a:r>
          <a:r>
            <a:rPr lang="en-US" sz="1100" b="1" baseline="0">
              <a:solidFill>
                <a:schemeClr val="dk1"/>
              </a:solidFill>
              <a:latin typeface="+mn-lt"/>
              <a:ea typeface="+mn-ea"/>
              <a:cs typeface="+mn-cs"/>
            </a:rPr>
            <a:t> for 2010 is computed on the 2009 ending balances in Short Term Notes Payable and Long Term Debt. Inputs for those interest rates are provided in the Inputs section.</a:t>
          </a:r>
          <a:endParaRPr lang="en-US" sz="1100" b="1">
            <a:solidFill>
              <a:schemeClr val="dk1"/>
            </a:solidFill>
            <a:latin typeface="+mn-lt"/>
            <a:ea typeface="+mn-ea"/>
            <a:cs typeface="+mn-cs"/>
          </a:endParaRPr>
        </a:p>
        <a:p>
          <a:endParaRPr lang="en-US" sz="1100" b="1">
            <a:solidFill>
              <a:schemeClr val="dk1"/>
            </a:solidFill>
            <a:latin typeface="+mn-lt"/>
            <a:ea typeface="+mn-ea"/>
            <a:cs typeface="+mn-cs"/>
          </a:endParaRPr>
        </a:p>
        <a:p>
          <a:r>
            <a:rPr lang="en-US" sz="1100" b="1">
              <a:solidFill>
                <a:schemeClr val="dk1"/>
              </a:solidFill>
              <a:latin typeface="+mn-lt"/>
              <a:ea typeface="+mn-ea"/>
              <a:cs typeface="+mn-cs"/>
            </a:rPr>
            <a:t>Complete the </a:t>
          </a:r>
          <a:r>
            <a:rPr lang="en-US" sz="1100" b="1" baseline="0">
              <a:solidFill>
                <a:schemeClr val="dk1"/>
              </a:solidFill>
              <a:latin typeface="+mn-lt"/>
              <a:ea typeface="+mn-ea"/>
              <a:cs typeface="+mn-cs"/>
            </a:rPr>
            <a:t> pro-forma income statement and balance sheet for 2010 using the information above, the inputs below, and the values that are given in the statements. The 2010 projected statements should accurately adjust for any changes in the inputs. </a:t>
          </a:r>
        </a:p>
        <a:p>
          <a:endParaRPr lang="en-US" sz="1100" b="1" baseline="0">
            <a:solidFill>
              <a:schemeClr val="dk1"/>
            </a:solidFill>
            <a:latin typeface="+mn-lt"/>
            <a:ea typeface="+mn-ea"/>
            <a:cs typeface="+mn-cs"/>
          </a:endParaRPr>
        </a:p>
        <a:p>
          <a:r>
            <a:rPr lang="en-US" sz="1100" b="1" baseline="0">
              <a:solidFill>
                <a:schemeClr val="dk1"/>
              </a:solidFill>
              <a:latin typeface="+mn-lt"/>
              <a:ea typeface="+mn-ea"/>
              <a:cs typeface="+mn-cs"/>
            </a:rPr>
            <a:t>Compute the excess or deficit of financing for 2010 in the yellow box at the bottom of the Balance Sheet.  This number should be positive if the firm will have more financing than is needed, and it should be negative if the firm has less financing than is needed.</a:t>
          </a: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2:C40"/>
  <sheetViews>
    <sheetView tabSelected="1" workbookViewId="0">
      <selection activeCell="J12" sqref="J12"/>
    </sheetView>
  </sheetViews>
  <sheetFormatPr defaultRowHeight="14.5"/>
  <cols>
    <col min="1" max="1" width="2.81640625" customWidth="1"/>
  </cols>
  <sheetData>
    <row r="2" spans="2:2" ht="18.5">
      <c r="B2" s="54" t="s">
        <v>67</v>
      </c>
    </row>
    <row r="3" spans="2:2" ht="18.5">
      <c r="B3" s="54" t="s">
        <v>115</v>
      </c>
    </row>
    <row r="4" spans="2:2" ht="18.5">
      <c r="B4" s="54" t="s">
        <v>86</v>
      </c>
    </row>
    <row r="5" spans="2:2" ht="6" customHeight="1">
      <c r="B5" s="54"/>
    </row>
    <row r="6" spans="2:2" ht="18.5">
      <c r="B6" s="54" t="s">
        <v>68</v>
      </c>
    </row>
    <row r="7" spans="2:2" ht="18.5">
      <c r="B7" s="54" t="s">
        <v>69</v>
      </c>
    </row>
    <row r="8" spans="2:2" ht="18.5">
      <c r="B8" s="54" t="s">
        <v>70</v>
      </c>
    </row>
    <row r="9" spans="2:2" ht="8.5" customHeight="1">
      <c r="B9" s="54"/>
    </row>
    <row r="10" spans="2:2" ht="16.5" customHeight="1">
      <c r="B10" s="54" t="s">
        <v>71</v>
      </c>
    </row>
    <row r="11" spans="2:2" ht="16.5" customHeight="1">
      <c r="B11" s="54" t="s">
        <v>87</v>
      </c>
    </row>
    <row r="12" spans="2:2" ht="16.5" customHeight="1">
      <c r="B12" s="54" t="s">
        <v>88</v>
      </c>
    </row>
    <row r="13" spans="2:2" ht="4.5" customHeight="1">
      <c r="B13" s="54"/>
    </row>
    <row r="14" spans="2:2" ht="6" customHeight="1">
      <c r="B14" s="54"/>
    </row>
    <row r="15" spans="2:2" ht="16.5" customHeight="1">
      <c r="B15" s="54" t="s">
        <v>72</v>
      </c>
    </row>
    <row r="16" spans="2:2" ht="8.5" customHeight="1">
      <c r="B16" s="54"/>
    </row>
    <row r="17" spans="2:3">
      <c r="B17" t="s">
        <v>116</v>
      </c>
    </row>
    <row r="18" spans="2:3" ht="15" customHeight="1">
      <c r="B18" t="s">
        <v>85</v>
      </c>
    </row>
    <row r="19" spans="2:3" ht="8" customHeight="1">
      <c r="B19" s="54"/>
    </row>
    <row r="20" spans="2:3">
      <c r="B20" t="s">
        <v>73</v>
      </c>
    </row>
    <row r="21" spans="2:3">
      <c r="B21" t="s">
        <v>117</v>
      </c>
    </row>
    <row r="22" spans="2:3">
      <c r="B22" t="s">
        <v>118</v>
      </c>
    </row>
    <row r="23" spans="2:3" ht="7.5" customHeight="1"/>
    <row r="24" spans="2:3" ht="7.5" customHeight="1"/>
    <row r="25" spans="2:3">
      <c r="B25" t="s">
        <v>119</v>
      </c>
    </row>
    <row r="26" spans="2:3" ht="7.5" customHeight="1"/>
    <row r="27" spans="2:3">
      <c r="C27" t="s">
        <v>120</v>
      </c>
    </row>
    <row r="28" spans="2:3">
      <c r="C28" t="s">
        <v>121</v>
      </c>
    </row>
    <row r="29" spans="2:3">
      <c r="C29" t="s">
        <v>122</v>
      </c>
    </row>
    <row r="30" spans="2:3">
      <c r="C30" t="s">
        <v>123</v>
      </c>
    </row>
    <row r="31" spans="2:3">
      <c r="C31" t="s">
        <v>124</v>
      </c>
    </row>
    <row r="32" spans="2:3">
      <c r="C32" t="s">
        <v>125</v>
      </c>
    </row>
    <row r="33" spans="2:3">
      <c r="C33" t="s">
        <v>126</v>
      </c>
    </row>
    <row r="34" spans="2:3">
      <c r="C34" t="s">
        <v>127</v>
      </c>
    </row>
    <row r="36" spans="2:3">
      <c r="C36" t="s">
        <v>128</v>
      </c>
    </row>
    <row r="37" spans="2:3">
      <c r="C37" t="s">
        <v>129</v>
      </c>
    </row>
    <row r="39" spans="2:3" ht="18.5">
      <c r="B39" s="54" t="s">
        <v>83</v>
      </c>
    </row>
    <row r="40" spans="2:3" ht="18.5">
      <c r="B40" s="54" t="s">
        <v>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C12:W90"/>
  <sheetViews>
    <sheetView zoomScale="115" zoomScaleNormal="115" workbookViewId="0">
      <selection activeCell="E23" sqref="E23"/>
    </sheetView>
  </sheetViews>
  <sheetFormatPr defaultRowHeight="14.5"/>
  <cols>
    <col min="1" max="2" width="2.81640625" customWidth="1"/>
    <col min="3" max="7" width="14.7265625" customWidth="1"/>
    <col min="8" max="9" width="8.81640625" customWidth="1"/>
  </cols>
  <sheetData>
    <row r="12" spans="23:23">
      <c r="W12">
        <v>1</v>
      </c>
    </row>
    <row r="18" spans="3:19">
      <c r="C18" s="61"/>
    </row>
    <row r="19" spans="3:19">
      <c r="C19" s="61"/>
    </row>
    <row r="20" spans="3:19">
      <c r="C20" s="27" t="s">
        <v>90</v>
      </c>
    </row>
    <row r="21" spans="3:19">
      <c r="C21" s="16" t="s">
        <v>15</v>
      </c>
      <c r="F21" s="2">
        <v>100000</v>
      </c>
      <c r="N21" t="s">
        <v>136</v>
      </c>
      <c r="O21">
        <f>IF(F25="Annual",1,IF(F25="Quarterly",4,12))</f>
        <v>12</v>
      </c>
      <c r="P21">
        <v>1</v>
      </c>
    </row>
    <row r="22" spans="3:19">
      <c r="C22" s="61" t="s">
        <v>139</v>
      </c>
      <c r="F22" s="80">
        <v>2</v>
      </c>
      <c r="N22" t="s">
        <v>137</v>
      </c>
      <c r="P22">
        <v>2</v>
      </c>
    </row>
    <row r="23" spans="3:19">
      <c r="C23" s="16" t="s">
        <v>16</v>
      </c>
      <c r="F23" s="3">
        <v>0.1</v>
      </c>
      <c r="N23" t="s">
        <v>138</v>
      </c>
      <c r="P23">
        <v>3</v>
      </c>
    </row>
    <row r="24" spans="3:19">
      <c r="C24" s="16" t="s">
        <v>17</v>
      </c>
      <c r="F24" s="2">
        <v>50000</v>
      </c>
      <c r="P24">
        <v>4</v>
      </c>
    </row>
    <row r="25" spans="3:19">
      <c r="C25" s="61" t="s">
        <v>89</v>
      </c>
      <c r="F25" t="s">
        <v>138</v>
      </c>
      <c r="G25" s="2"/>
      <c r="P25">
        <v>5</v>
      </c>
    </row>
    <row r="26" spans="3:19" ht="4" customHeight="1" thickBot="1">
      <c r="C26" s="62"/>
      <c r="D26" s="18"/>
      <c r="E26" s="18"/>
      <c r="F26" s="18"/>
      <c r="G26" s="18"/>
      <c r="H26" s="18"/>
      <c r="I26" s="18"/>
      <c r="J26" s="18"/>
      <c r="K26" s="18"/>
      <c r="L26" s="18"/>
      <c r="M26" s="18"/>
      <c r="N26" s="26"/>
      <c r="O26" s="26"/>
      <c r="P26" s="26"/>
      <c r="Q26" s="26"/>
      <c r="R26" s="26"/>
      <c r="S26" s="26"/>
    </row>
    <row r="27" spans="3:19" ht="6" customHeight="1"/>
    <row r="28" spans="3:19" ht="6" customHeight="1" thickBot="1"/>
    <row r="29" spans="3:19" ht="29.5" thickBot="1">
      <c r="C29" s="19" t="s">
        <v>18</v>
      </c>
      <c r="D29" s="20" t="s">
        <v>5</v>
      </c>
      <c r="E29" s="20" t="s">
        <v>19</v>
      </c>
      <c r="F29" s="20" t="s">
        <v>20</v>
      </c>
      <c r="G29" s="21" t="s">
        <v>21</v>
      </c>
    </row>
    <row r="30" spans="3:19">
      <c r="C30" s="22">
        <v>0</v>
      </c>
      <c r="D30" s="23"/>
      <c r="E30" s="23"/>
      <c r="F30" s="23"/>
      <c r="G30" s="81">
        <f>F21</f>
        <v>100000</v>
      </c>
    </row>
    <row r="31" spans="3:19">
      <c r="C31" s="22">
        <v>1</v>
      </c>
      <c r="D31" s="24">
        <f>PMT(Rate/Periods,Term*Periods,-F21,F24)</f>
        <v>2723.912983542501</v>
      </c>
      <c r="E31" s="23">
        <f t="shared" ref="E31:E62" si="0">IF(C31&gt;Term*Periods,"",G30*Rate/Periods)</f>
        <v>833.33333333333337</v>
      </c>
      <c r="F31" s="24">
        <f t="shared" ref="F31:F62" si="1">IF(C31&gt;Term*Periods,"",D31-E31)</f>
        <v>1890.5796502091675</v>
      </c>
      <c r="G31" s="23">
        <f t="shared" ref="G31:G62" si="2">IF(C31&gt;Term*Periods,"",G30-F31)</f>
        <v>98109.420349790831</v>
      </c>
      <c r="K31" t="s">
        <v>22</v>
      </c>
    </row>
    <row r="32" spans="3:19">
      <c r="C32" s="22">
        <v>2</v>
      </c>
      <c r="D32" s="24">
        <f t="shared" ref="D32:D63" si="3">IF(C32&gt;Term*Periods,"",IF(C32=Term*Periods,$D$31+$F$24,$D$31))</f>
        <v>2723.912983542501</v>
      </c>
      <c r="E32" s="23">
        <f t="shared" si="0"/>
        <v>817.57850291492366</v>
      </c>
      <c r="F32" s="24">
        <f t="shared" si="1"/>
        <v>1906.3344806275772</v>
      </c>
      <c r="G32" s="23">
        <f t="shared" si="2"/>
        <v>96203.08586916326</v>
      </c>
    </row>
    <row r="33" spans="3:7">
      <c r="C33" s="22">
        <v>3</v>
      </c>
      <c r="D33" s="24">
        <f t="shared" si="3"/>
        <v>2723.912983542501</v>
      </c>
      <c r="E33" s="23">
        <f t="shared" si="0"/>
        <v>801.69238224302717</v>
      </c>
      <c r="F33" s="24">
        <f t="shared" si="1"/>
        <v>1922.2206012994739</v>
      </c>
      <c r="G33" s="23">
        <f t="shared" si="2"/>
        <v>94280.865267863788</v>
      </c>
    </row>
    <row r="34" spans="3:7">
      <c r="C34" s="22">
        <v>4</v>
      </c>
      <c r="D34" s="24">
        <f t="shared" si="3"/>
        <v>2723.912983542501</v>
      </c>
      <c r="E34" s="23">
        <f t="shared" si="0"/>
        <v>785.67387723219827</v>
      </c>
      <c r="F34" s="24">
        <f t="shared" si="1"/>
        <v>1938.2391063103028</v>
      </c>
      <c r="G34" s="23">
        <f t="shared" si="2"/>
        <v>92342.62616155349</v>
      </c>
    </row>
    <row r="35" spans="3:7">
      <c r="C35" s="22">
        <v>5</v>
      </c>
      <c r="D35" s="24">
        <f t="shared" si="3"/>
        <v>2723.912983542501</v>
      </c>
      <c r="E35" s="23">
        <f t="shared" si="0"/>
        <v>769.52188467961241</v>
      </c>
      <c r="F35" s="24">
        <f t="shared" si="1"/>
        <v>1954.3910988628886</v>
      </c>
      <c r="G35" s="23">
        <f t="shared" si="2"/>
        <v>90388.235062690597</v>
      </c>
    </row>
    <row r="36" spans="3:7">
      <c r="C36" s="22">
        <v>6</v>
      </c>
      <c r="D36" s="24">
        <f t="shared" si="3"/>
        <v>2723.912983542501</v>
      </c>
      <c r="E36" s="23">
        <f t="shared" si="0"/>
        <v>753.23529218908834</v>
      </c>
      <c r="F36" s="24">
        <f t="shared" si="1"/>
        <v>1970.6776913534127</v>
      </c>
      <c r="G36" s="23">
        <f t="shared" si="2"/>
        <v>88417.557371337185</v>
      </c>
    </row>
    <row r="37" spans="3:7">
      <c r="C37" s="22">
        <v>7</v>
      </c>
      <c r="D37" s="24">
        <f t="shared" si="3"/>
        <v>2723.912983542501</v>
      </c>
      <c r="E37" s="23">
        <f t="shared" si="0"/>
        <v>736.81297809447653</v>
      </c>
      <c r="F37" s="24">
        <f t="shared" si="1"/>
        <v>1987.1000054480246</v>
      </c>
      <c r="G37" s="23">
        <f t="shared" si="2"/>
        <v>86430.45736588916</v>
      </c>
    </row>
    <row r="38" spans="3:7">
      <c r="C38" s="22">
        <v>8</v>
      </c>
      <c r="D38" s="24">
        <f t="shared" si="3"/>
        <v>2723.912983542501</v>
      </c>
      <c r="E38" s="23">
        <f t="shared" si="0"/>
        <v>720.25381138240971</v>
      </c>
      <c r="F38" s="24">
        <f t="shared" si="1"/>
        <v>2003.6591721600912</v>
      </c>
      <c r="G38" s="23">
        <f t="shared" si="2"/>
        <v>84426.798193729075</v>
      </c>
    </row>
    <row r="39" spans="3:7">
      <c r="C39" s="22">
        <v>9</v>
      </c>
      <c r="D39" s="24">
        <f t="shared" si="3"/>
        <v>2723.912983542501</v>
      </c>
      <c r="E39" s="23">
        <f t="shared" si="0"/>
        <v>703.55665161440902</v>
      </c>
      <c r="F39" s="24">
        <f t="shared" si="1"/>
        <v>2020.356331928092</v>
      </c>
      <c r="G39" s="23">
        <f t="shared" si="2"/>
        <v>82406.44186180098</v>
      </c>
    </row>
    <row r="40" spans="3:7">
      <c r="C40" s="22">
        <v>10</v>
      </c>
      <c r="D40" s="24">
        <f t="shared" si="3"/>
        <v>2723.912983542501</v>
      </c>
      <c r="E40" s="23">
        <f t="shared" si="0"/>
        <v>686.72034884834147</v>
      </c>
      <c r="F40" s="24">
        <f t="shared" si="1"/>
        <v>2037.1926346941596</v>
      </c>
      <c r="G40" s="23">
        <f t="shared" si="2"/>
        <v>80369.249227106819</v>
      </c>
    </row>
    <row r="41" spans="3:7">
      <c r="C41" s="22">
        <v>11</v>
      </c>
      <c r="D41" s="24">
        <f t="shared" si="3"/>
        <v>2723.912983542501</v>
      </c>
      <c r="E41" s="23">
        <f t="shared" si="0"/>
        <v>669.7437435592235</v>
      </c>
      <c r="F41" s="24">
        <f t="shared" si="1"/>
        <v>2054.1692399832773</v>
      </c>
      <c r="G41" s="23">
        <f t="shared" si="2"/>
        <v>78315.079987123536</v>
      </c>
    </row>
    <row r="42" spans="3:7">
      <c r="C42" s="22">
        <v>12</v>
      </c>
      <c r="D42" s="24">
        <f t="shared" si="3"/>
        <v>2723.912983542501</v>
      </c>
      <c r="E42" s="23">
        <f t="shared" si="0"/>
        <v>652.6256665593628</v>
      </c>
      <c r="F42" s="24">
        <f t="shared" si="1"/>
        <v>2071.2873169831382</v>
      </c>
      <c r="G42" s="23">
        <f t="shared" si="2"/>
        <v>76243.792670140392</v>
      </c>
    </row>
    <row r="43" spans="3:7">
      <c r="C43" s="22">
        <v>13</v>
      </c>
      <c r="D43" s="24">
        <f t="shared" si="3"/>
        <v>2723.912983542501</v>
      </c>
      <c r="E43" s="23">
        <f t="shared" si="0"/>
        <v>635.36493891783664</v>
      </c>
      <c r="F43" s="24">
        <f t="shared" si="1"/>
        <v>2088.5480446246643</v>
      </c>
      <c r="G43" s="23">
        <f t="shared" si="2"/>
        <v>74155.244625515727</v>
      </c>
    </row>
    <row r="44" spans="3:7">
      <c r="C44" s="22">
        <v>14</v>
      </c>
      <c r="D44" s="24">
        <f t="shared" si="3"/>
        <v>2723.912983542501</v>
      </c>
      <c r="E44" s="23">
        <f t="shared" si="0"/>
        <v>617.96037187929778</v>
      </c>
      <c r="F44" s="24">
        <f t="shared" si="1"/>
        <v>2105.9526116632032</v>
      </c>
      <c r="G44" s="23">
        <f t="shared" si="2"/>
        <v>72049.292013852522</v>
      </c>
    </row>
    <row r="45" spans="3:7">
      <c r="C45" s="22">
        <v>15</v>
      </c>
      <c r="D45" s="24">
        <f t="shared" si="3"/>
        <v>2723.912983542501</v>
      </c>
      <c r="E45" s="23">
        <f t="shared" si="0"/>
        <v>600.41076678210436</v>
      </c>
      <c r="F45" s="24">
        <f t="shared" si="1"/>
        <v>2123.5022167603965</v>
      </c>
      <c r="G45" s="23">
        <f t="shared" si="2"/>
        <v>69925.789797092119</v>
      </c>
    </row>
    <row r="46" spans="3:7">
      <c r="C46" s="22">
        <v>16</v>
      </c>
      <c r="D46" s="24">
        <f t="shared" si="3"/>
        <v>2723.912983542501</v>
      </c>
      <c r="E46" s="23">
        <f t="shared" si="0"/>
        <v>582.71491497576767</v>
      </c>
      <c r="F46" s="24">
        <f t="shared" si="1"/>
        <v>2141.1980685667331</v>
      </c>
      <c r="G46" s="23">
        <f t="shared" si="2"/>
        <v>67784.591728525382</v>
      </c>
    </row>
    <row r="47" spans="3:7">
      <c r="C47" s="22">
        <v>17</v>
      </c>
      <c r="D47" s="24">
        <f t="shared" si="3"/>
        <v>2723.912983542501</v>
      </c>
      <c r="E47" s="23">
        <f t="shared" si="0"/>
        <v>564.87159773771157</v>
      </c>
      <c r="F47" s="24">
        <f t="shared" si="1"/>
        <v>2159.0413858047896</v>
      </c>
      <c r="G47" s="23">
        <f t="shared" si="2"/>
        <v>65625.550342720599</v>
      </c>
    </row>
    <row r="48" spans="3:7">
      <c r="C48" s="22">
        <v>18</v>
      </c>
      <c r="D48" s="24">
        <f t="shared" si="3"/>
        <v>2723.912983542501</v>
      </c>
      <c r="E48" s="23">
        <f t="shared" si="0"/>
        <v>546.87958618933828</v>
      </c>
      <c r="F48" s="24">
        <f t="shared" si="1"/>
        <v>2177.0333973531629</v>
      </c>
      <c r="G48" s="23">
        <f t="shared" si="2"/>
        <v>63448.516945367439</v>
      </c>
    </row>
    <row r="49" spans="3:7">
      <c r="C49" s="22">
        <v>19</v>
      </c>
      <c r="D49" s="24">
        <f t="shared" si="3"/>
        <v>2723.912983542501</v>
      </c>
      <c r="E49" s="23">
        <f t="shared" si="0"/>
        <v>528.73764121139538</v>
      </c>
      <c r="F49" s="24">
        <f t="shared" si="1"/>
        <v>2195.1753423311056</v>
      </c>
      <c r="G49" s="23">
        <f t="shared" si="2"/>
        <v>61253.34160303633</v>
      </c>
    </row>
    <row r="50" spans="3:7">
      <c r="C50" s="22">
        <v>20</v>
      </c>
      <c r="D50" s="24">
        <f t="shared" si="3"/>
        <v>2723.912983542501</v>
      </c>
      <c r="E50" s="23">
        <f t="shared" si="0"/>
        <v>510.44451335863613</v>
      </c>
      <c r="F50" s="24">
        <f t="shared" si="1"/>
        <v>2213.4684701838651</v>
      </c>
      <c r="G50" s="23">
        <f t="shared" si="2"/>
        <v>59039.873132852466</v>
      </c>
    </row>
    <row r="51" spans="3:7">
      <c r="C51" s="22">
        <v>21</v>
      </c>
      <c r="D51" s="24">
        <f t="shared" si="3"/>
        <v>2723.912983542501</v>
      </c>
      <c r="E51" s="23">
        <f t="shared" si="0"/>
        <v>491.99894277377058</v>
      </c>
      <c r="F51" s="24">
        <f t="shared" si="1"/>
        <v>2231.9140407687305</v>
      </c>
      <c r="G51" s="23">
        <f t="shared" si="2"/>
        <v>56807.959092083736</v>
      </c>
    </row>
    <row r="52" spans="3:7">
      <c r="C52" s="22">
        <v>22</v>
      </c>
      <c r="D52" s="24">
        <f t="shared" si="3"/>
        <v>2723.912983542501</v>
      </c>
      <c r="E52" s="23">
        <f t="shared" si="0"/>
        <v>473.39965910069782</v>
      </c>
      <c r="F52" s="24">
        <f t="shared" si="1"/>
        <v>2250.513324441803</v>
      </c>
      <c r="G52" s="23">
        <f t="shared" si="2"/>
        <v>54557.445767641933</v>
      </c>
    </row>
    <row r="53" spans="3:7">
      <c r="C53" s="22">
        <v>23</v>
      </c>
      <c r="D53" s="24">
        <f t="shared" si="3"/>
        <v>2723.912983542501</v>
      </c>
      <c r="E53" s="23">
        <f t="shared" si="0"/>
        <v>454.64538139701614</v>
      </c>
      <c r="F53" s="24">
        <f t="shared" si="1"/>
        <v>2269.2676021454849</v>
      </c>
      <c r="G53" s="23">
        <f t="shared" si="2"/>
        <v>52288.178165496451</v>
      </c>
    </row>
    <row r="54" spans="3:7">
      <c r="C54" s="22">
        <v>24</v>
      </c>
      <c r="D54" s="24">
        <f t="shared" si="3"/>
        <v>52723.912983542497</v>
      </c>
      <c r="E54" s="23">
        <f t="shared" si="0"/>
        <v>435.73481804580382</v>
      </c>
      <c r="F54" s="24">
        <f t="shared" si="1"/>
        <v>52288.178165496691</v>
      </c>
      <c r="G54" s="23">
        <f t="shared" si="2"/>
        <v>-2.4010660126805305E-10</v>
      </c>
    </row>
    <row r="55" spans="3:7">
      <c r="C55" s="22">
        <v>25</v>
      </c>
      <c r="D55" s="24" t="str">
        <f t="shared" si="3"/>
        <v/>
      </c>
      <c r="E55" s="23" t="str">
        <f t="shared" si="0"/>
        <v/>
      </c>
      <c r="F55" s="24" t="str">
        <f t="shared" si="1"/>
        <v/>
      </c>
      <c r="G55" s="23" t="str">
        <f t="shared" si="2"/>
        <v/>
      </c>
    </row>
    <row r="56" spans="3:7">
      <c r="C56" s="22">
        <v>26</v>
      </c>
      <c r="D56" s="24" t="str">
        <f t="shared" si="3"/>
        <v/>
      </c>
      <c r="E56" s="23" t="str">
        <f t="shared" si="0"/>
        <v/>
      </c>
      <c r="F56" s="24" t="str">
        <f t="shared" si="1"/>
        <v/>
      </c>
      <c r="G56" s="23" t="str">
        <f t="shared" si="2"/>
        <v/>
      </c>
    </row>
    <row r="57" spans="3:7">
      <c r="C57" s="22">
        <v>27</v>
      </c>
      <c r="D57" s="24" t="str">
        <f t="shared" si="3"/>
        <v/>
      </c>
      <c r="E57" s="23" t="str">
        <f t="shared" si="0"/>
        <v/>
      </c>
      <c r="F57" s="24" t="str">
        <f t="shared" si="1"/>
        <v/>
      </c>
      <c r="G57" s="23" t="str">
        <f t="shared" si="2"/>
        <v/>
      </c>
    </row>
    <row r="58" spans="3:7">
      <c r="C58" s="22">
        <v>28</v>
      </c>
      <c r="D58" s="24" t="str">
        <f t="shared" si="3"/>
        <v/>
      </c>
      <c r="E58" s="23" t="str">
        <f t="shared" si="0"/>
        <v/>
      </c>
      <c r="F58" s="24" t="str">
        <f t="shared" si="1"/>
        <v/>
      </c>
      <c r="G58" s="23" t="str">
        <f t="shared" si="2"/>
        <v/>
      </c>
    </row>
    <row r="59" spans="3:7">
      <c r="C59" s="22">
        <v>29</v>
      </c>
      <c r="D59" s="24" t="str">
        <f t="shared" si="3"/>
        <v/>
      </c>
      <c r="E59" s="23" t="str">
        <f t="shared" si="0"/>
        <v/>
      </c>
      <c r="F59" s="24" t="str">
        <f t="shared" si="1"/>
        <v/>
      </c>
      <c r="G59" s="23" t="str">
        <f t="shared" si="2"/>
        <v/>
      </c>
    </row>
    <row r="60" spans="3:7">
      <c r="C60" s="22">
        <v>30</v>
      </c>
      <c r="D60" s="24" t="str">
        <f t="shared" si="3"/>
        <v/>
      </c>
      <c r="E60" s="23" t="str">
        <f t="shared" si="0"/>
        <v/>
      </c>
      <c r="F60" s="24" t="str">
        <f t="shared" si="1"/>
        <v/>
      </c>
      <c r="G60" s="23" t="str">
        <f t="shared" si="2"/>
        <v/>
      </c>
    </row>
    <row r="61" spans="3:7">
      <c r="C61" s="22">
        <v>31</v>
      </c>
      <c r="D61" s="24" t="str">
        <f t="shared" si="3"/>
        <v/>
      </c>
      <c r="E61" s="23" t="str">
        <f t="shared" si="0"/>
        <v/>
      </c>
      <c r="F61" s="24" t="str">
        <f t="shared" si="1"/>
        <v/>
      </c>
      <c r="G61" s="23" t="str">
        <f t="shared" si="2"/>
        <v/>
      </c>
    </row>
    <row r="62" spans="3:7">
      <c r="C62" s="22">
        <v>32</v>
      </c>
      <c r="D62" s="24" t="str">
        <f t="shared" si="3"/>
        <v/>
      </c>
      <c r="E62" s="23" t="str">
        <f t="shared" si="0"/>
        <v/>
      </c>
      <c r="F62" s="24" t="str">
        <f t="shared" si="1"/>
        <v/>
      </c>
      <c r="G62" s="23" t="str">
        <f t="shared" si="2"/>
        <v/>
      </c>
    </row>
    <row r="63" spans="3:7">
      <c r="C63" s="22">
        <v>33</v>
      </c>
      <c r="D63" s="24" t="str">
        <f t="shared" si="3"/>
        <v/>
      </c>
      <c r="E63" s="23" t="str">
        <f t="shared" ref="E63:E90" si="4">IF(C63&gt;Term*Periods,"",G62*Rate/Periods)</f>
        <v/>
      </c>
      <c r="F63" s="24" t="str">
        <f t="shared" ref="F63:F90" si="5">IF(C63&gt;Term*Periods,"",D63-E63)</f>
        <v/>
      </c>
      <c r="G63" s="23" t="str">
        <f t="shared" ref="G63:G90" si="6">IF(C63&gt;Term*Periods,"",G62-F63)</f>
        <v/>
      </c>
    </row>
    <row r="64" spans="3:7">
      <c r="C64" s="22">
        <v>34</v>
      </c>
      <c r="D64" s="24" t="str">
        <f t="shared" ref="D64:D90" si="7">IF(C64&gt;Term*Periods,"",IF(C64=Term*Periods,$D$31+$F$24,$D$31))</f>
        <v/>
      </c>
      <c r="E64" s="23" t="str">
        <f t="shared" si="4"/>
        <v/>
      </c>
      <c r="F64" s="24" t="str">
        <f t="shared" si="5"/>
        <v/>
      </c>
      <c r="G64" s="23" t="str">
        <f t="shared" si="6"/>
        <v/>
      </c>
    </row>
    <row r="65" spans="3:7">
      <c r="C65" s="22">
        <v>35</v>
      </c>
      <c r="D65" s="24" t="str">
        <f t="shared" si="7"/>
        <v/>
      </c>
      <c r="E65" s="23" t="str">
        <f t="shared" si="4"/>
        <v/>
      </c>
      <c r="F65" s="24" t="str">
        <f t="shared" si="5"/>
        <v/>
      </c>
      <c r="G65" s="23" t="str">
        <f t="shared" si="6"/>
        <v/>
      </c>
    </row>
    <row r="66" spans="3:7">
      <c r="C66" s="22">
        <v>36</v>
      </c>
      <c r="D66" s="24" t="str">
        <f t="shared" si="7"/>
        <v/>
      </c>
      <c r="E66" s="23" t="str">
        <f t="shared" si="4"/>
        <v/>
      </c>
      <c r="F66" s="24" t="str">
        <f t="shared" si="5"/>
        <v/>
      </c>
      <c r="G66" s="23" t="str">
        <f t="shared" si="6"/>
        <v/>
      </c>
    </row>
    <row r="67" spans="3:7">
      <c r="C67" s="22">
        <v>37</v>
      </c>
      <c r="D67" s="24" t="str">
        <f t="shared" si="7"/>
        <v/>
      </c>
      <c r="E67" s="23" t="str">
        <f t="shared" si="4"/>
        <v/>
      </c>
      <c r="F67" s="24" t="str">
        <f t="shared" si="5"/>
        <v/>
      </c>
      <c r="G67" s="23" t="str">
        <f t="shared" si="6"/>
        <v/>
      </c>
    </row>
    <row r="68" spans="3:7">
      <c r="C68" s="22">
        <v>38</v>
      </c>
      <c r="D68" s="24" t="str">
        <f t="shared" si="7"/>
        <v/>
      </c>
      <c r="E68" s="23" t="str">
        <f t="shared" si="4"/>
        <v/>
      </c>
      <c r="F68" s="24" t="str">
        <f t="shared" si="5"/>
        <v/>
      </c>
      <c r="G68" s="23" t="str">
        <f t="shared" si="6"/>
        <v/>
      </c>
    </row>
    <row r="69" spans="3:7">
      <c r="C69" s="22">
        <v>39</v>
      </c>
      <c r="D69" s="24" t="str">
        <f t="shared" si="7"/>
        <v/>
      </c>
      <c r="E69" s="23" t="str">
        <f t="shared" si="4"/>
        <v/>
      </c>
      <c r="F69" s="24" t="str">
        <f t="shared" si="5"/>
        <v/>
      </c>
      <c r="G69" s="23" t="str">
        <f t="shared" si="6"/>
        <v/>
      </c>
    </row>
    <row r="70" spans="3:7">
      <c r="C70" s="22">
        <v>40</v>
      </c>
      <c r="D70" s="24" t="str">
        <f t="shared" si="7"/>
        <v/>
      </c>
      <c r="E70" s="23" t="str">
        <f t="shared" si="4"/>
        <v/>
      </c>
      <c r="F70" s="24" t="str">
        <f t="shared" si="5"/>
        <v/>
      </c>
      <c r="G70" s="23" t="str">
        <f t="shared" si="6"/>
        <v/>
      </c>
    </row>
    <row r="71" spans="3:7">
      <c r="C71" s="22">
        <v>41</v>
      </c>
      <c r="D71" s="24" t="str">
        <f t="shared" si="7"/>
        <v/>
      </c>
      <c r="E71" s="23" t="str">
        <f t="shared" si="4"/>
        <v/>
      </c>
      <c r="F71" s="24" t="str">
        <f t="shared" si="5"/>
        <v/>
      </c>
      <c r="G71" s="23" t="str">
        <f t="shared" si="6"/>
        <v/>
      </c>
    </row>
    <row r="72" spans="3:7">
      <c r="C72" s="22">
        <v>42</v>
      </c>
      <c r="D72" s="24" t="str">
        <f t="shared" si="7"/>
        <v/>
      </c>
      <c r="E72" s="23" t="str">
        <f t="shared" si="4"/>
        <v/>
      </c>
      <c r="F72" s="24" t="str">
        <f t="shared" si="5"/>
        <v/>
      </c>
      <c r="G72" s="23" t="str">
        <f t="shared" si="6"/>
        <v/>
      </c>
    </row>
    <row r="73" spans="3:7">
      <c r="C73" s="22">
        <v>43</v>
      </c>
      <c r="D73" s="24" t="str">
        <f t="shared" si="7"/>
        <v/>
      </c>
      <c r="E73" s="23" t="str">
        <f t="shared" si="4"/>
        <v/>
      </c>
      <c r="F73" s="24" t="str">
        <f t="shared" si="5"/>
        <v/>
      </c>
      <c r="G73" s="23" t="str">
        <f t="shared" si="6"/>
        <v/>
      </c>
    </row>
    <row r="74" spans="3:7">
      <c r="C74" s="22">
        <v>44</v>
      </c>
      <c r="D74" s="24" t="str">
        <f t="shared" si="7"/>
        <v/>
      </c>
      <c r="E74" s="23" t="str">
        <f t="shared" si="4"/>
        <v/>
      </c>
      <c r="F74" s="24" t="str">
        <f t="shared" si="5"/>
        <v/>
      </c>
      <c r="G74" s="23" t="str">
        <f t="shared" si="6"/>
        <v/>
      </c>
    </row>
    <row r="75" spans="3:7">
      <c r="C75" s="22">
        <v>45</v>
      </c>
      <c r="D75" s="24" t="str">
        <f t="shared" si="7"/>
        <v/>
      </c>
      <c r="E75" s="23" t="str">
        <f t="shared" si="4"/>
        <v/>
      </c>
      <c r="F75" s="24" t="str">
        <f t="shared" si="5"/>
        <v/>
      </c>
      <c r="G75" s="23" t="str">
        <f t="shared" si="6"/>
        <v/>
      </c>
    </row>
    <row r="76" spans="3:7">
      <c r="C76" s="22">
        <v>46</v>
      </c>
      <c r="D76" s="24" t="str">
        <f t="shared" si="7"/>
        <v/>
      </c>
      <c r="E76" s="23" t="str">
        <f t="shared" si="4"/>
        <v/>
      </c>
      <c r="F76" s="24" t="str">
        <f t="shared" si="5"/>
        <v/>
      </c>
      <c r="G76" s="23" t="str">
        <f t="shared" si="6"/>
        <v/>
      </c>
    </row>
    <row r="77" spans="3:7">
      <c r="C77" s="22">
        <v>47</v>
      </c>
      <c r="D77" s="24" t="str">
        <f t="shared" si="7"/>
        <v/>
      </c>
      <c r="E77" s="23" t="str">
        <f t="shared" si="4"/>
        <v/>
      </c>
      <c r="F77" s="24" t="str">
        <f t="shared" si="5"/>
        <v/>
      </c>
      <c r="G77" s="23" t="str">
        <f t="shared" si="6"/>
        <v/>
      </c>
    </row>
    <row r="78" spans="3:7">
      <c r="C78" s="22">
        <v>48</v>
      </c>
      <c r="D78" s="24" t="str">
        <f t="shared" si="7"/>
        <v/>
      </c>
      <c r="E78" s="23" t="str">
        <f t="shared" si="4"/>
        <v/>
      </c>
      <c r="F78" s="24" t="str">
        <f t="shared" si="5"/>
        <v/>
      </c>
      <c r="G78" s="23" t="str">
        <f t="shared" si="6"/>
        <v/>
      </c>
    </row>
    <row r="79" spans="3:7">
      <c r="C79" s="22">
        <v>49</v>
      </c>
      <c r="D79" s="24" t="str">
        <f t="shared" si="7"/>
        <v/>
      </c>
      <c r="E79" s="23" t="str">
        <f t="shared" si="4"/>
        <v/>
      </c>
      <c r="F79" s="24" t="str">
        <f t="shared" si="5"/>
        <v/>
      </c>
      <c r="G79" s="23" t="str">
        <f t="shared" si="6"/>
        <v/>
      </c>
    </row>
    <row r="80" spans="3:7">
      <c r="C80" s="22">
        <v>50</v>
      </c>
      <c r="D80" s="24" t="str">
        <f t="shared" si="7"/>
        <v/>
      </c>
      <c r="E80" s="23" t="str">
        <f t="shared" si="4"/>
        <v/>
      </c>
      <c r="F80" s="24" t="str">
        <f t="shared" si="5"/>
        <v/>
      </c>
      <c r="G80" s="23" t="str">
        <f t="shared" si="6"/>
        <v/>
      </c>
    </row>
    <row r="81" spans="3:7">
      <c r="C81" s="22">
        <v>51</v>
      </c>
      <c r="D81" s="24" t="str">
        <f t="shared" si="7"/>
        <v/>
      </c>
      <c r="E81" s="23" t="str">
        <f t="shared" si="4"/>
        <v/>
      </c>
      <c r="F81" s="24" t="str">
        <f t="shared" si="5"/>
        <v/>
      </c>
      <c r="G81" s="23" t="str">
        <f t="shared" si="6"/>
        <v/>
      </c>
    </row>
    <row r="82" spans="3:7">
      <c r="C82" s="22">
        <v>52</v>
      </c>
      <c r="D82" s="24" t="str">
        <f t="shared" si="7"/>
        <v/>
      </c>
      <c r="E82" s="23" t="str">
        <f t="shared" si="4"/>
        <v/>
      </c>
      <c r="F82" s="24" t="str">
        <f t="shared" si="5"/>
        <v/>
      </c>
      <c r="G82" s="23" t="str">
        <f t="shared" si="6"/>
        <v/>
      </c>
    </row>
    <row r="83" spans="3:7">
      <c r="C83" s="22">
        <v>53</v>
      </c>
      <c r="D83" s="24" t="str">
        <f t="shared" si="7"/>
        <v/>
      </c>
      <c r="E83" s="23" t="str">
        <f t="shared" si="4"/>
        <v/>
      </c>
      <c r="F83" s="24" t="str">
        <f t="shared" si="5"/>
        <v/>
      </c>
      <c r="G83" s="23" t="str">
        <f t="shared" si="6"/>
        <v/>
      </c>
    </row>
    <row r="84" spans="3:7">
      <c r="C84" s="22">
        <v>54</v>
      </c>
      <c r="D84" s="24" t="str">
        <f t="shared" si="7"/>
        <v/>
      </c>
      <c r="E84" s="23" t="str">
        <f t="shared" si="4"/>
        <v/>
      </c>
      <c r="F84" s="24" t="str">
        <f t="shared" si="5"/>
        <v/>
      </c>
      <c r="G84" s="23" t="str">
        <f t="shared" si="6"/>
        <v/>
      </c>
    </row>
    <row r="85" spans="3:7">
      <c r="C85" s="22">
        <v>55</v>
      </c>
      <c r="D85" s="24" t="str">
        <f t="shared" si="7"/>
        <v/>
      </c>
      <c r="E85" s="23" t="str">
        <f t="shared" si="4"/>
        <v/>
      </c>
      <c r="F85" s="24" t="str">
        <f t="shared" si="5"/>
        <v/>
      </c>
      <c r="G85" s="23" t="str">
        <f t="shared" si="6"/>
        <v/>
      </c>
    </row>
    <row r="86" spans="3:7">
      <c r="C86" s="22">
        <v>56</v>
      </c>
      <c r="D86" s="24" t="str">
        <f t="shared" si="7"/>
        <v/>
      </c>
      <c r="E86" s="23" t="str">
        <f t="shared" si="4"/>
        <v/>
      </c>
      <c r="F86" s="24" t="str">
        <f t="shared" si="5"/>
        <v/>
      </c>
      <c r="G86" s="23" t="str">
        <f t="shared" si="6"/>
        <v/>
      </c>
    </row>
    <row r="87" spans="3:7">
      <c r="C87" s="22">
        <v>57</v>
      </c>
      <c r="D87" s="24" t="str">
        <f t="shared" si="7"/>
        <v/>
      </c>
      <c r="E87" s="23" t="str">
        <f t="shared" si="4"/>
        <v/>
      </c>
      <c r="F87" s="24" t="str">
        <f t="shared" si="5"/>
        <v/>
      </c>
      <c r="G87" s="23" t="str">
        <f t="shared" si="6"/>
        <v/>
      </c>
    </row>
    <row r="88" spans="3:7">
      <c r="C88" s="22">
        <v>58</v>
      </c>
      <c r="D88" s="24" t="str">
        <f t="shared" si="7"/>
        <v/>
      </c>
      <c r="E88" s="23" t="str">
        <f t="shared" si="4"/>
        <v/>
      </c>
      <c r="F88" s="24" t="str">
        <f t="shared" si="5"/>
        <v/>
      </c>
      <c r="G88" s="23" t="str">
        <f t="shared" si="6"/>
        <v/>
      </c>
    </row>
    <row r="89" spans="3:7">
      <c r="C89" s="22">
        <v>59</v>
      </c>
      <c r="D89" s="24" t="str">
        <f t="shared" si="7"/>
        <v/>
      </c>
      <c r="E89" s="23" t="str">
        <f t="shared" si="4"/>
        <v/>
      </c>
      <c r="F89" s="24" t="str">
        <f t="shared" si="5"/>
        <v/>
      </c>
      <c r="G89" s="23" t="str">
        <f t="shared" si="6"/>
        <v/>
      </c>
    </row>
    <row r="90" spans="3:7">
      <c r="C90" s="22">
        <v>60</v>
      </c>
      <c r="D90" s="24" t="str">
        <f t="shared" si="7"/>
        <v/>
      </c>
      <c r="E90" s="23" t="str">
        <f t="shared" si="4"/>
        <v/>
      </c>
      <c r="F90" s="24" t="str">
        <f t="shared" si="5"/>
        <v/>
      </c>
      <c r="G90" s="2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10;"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5% and 15%." sqref="F23">
      <formula1>0.05</formula1>
      <formula2>0.15</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B3:D11"/>
  <sheetViews>
    <sheetView workbookViewId="0">
      <selection activeCell="E18" sqref="E18"/>
    </sheetView>
  </sheetViews>
  <sheetFormatPr defaultRowHeight="14.5"/>
  <cols>
    <col min="1" max="1" width="4.54296875" customWidth="1"/>
    <col min="2" max="2" width="15.6328125" customWidth="1"/>
    <col min="3" max="3" width="12.90625" customWidth="1"/>
    <col min="4" max="4" width="13" customWidth="1"/>
    <col min="5" max="7" width="15.6328125" customWidth="1"/>
  </cols>
  <sheetData>
    <row r="3" spans="2:4">
      <c r="B3" t="s">
        <v>91</v>
      </c>
      <c r="D3" s="3">
        <v>0.105</v>
      </c>
    </row>
    <row r="6" spans="2:4" ht="43.5">
      <c r="B6" s="27"/>
      <c r="D6" s="68" t="s">
        <v>97</v>
      </c>
    </row>
    <row r="7" spans="2:4" ht="19" customHeight="1">
      <c r="B7" s="25" t="s">
        <v>92</v>
      </c>
      <c r="D7" s="83">
        <f>D3</f>
        <v>0.105</v>
      </c>
    </row>
    <row r="8" spans="2:4" ht="19" customHeight="1">
      <c r="B8" s="25" t="s">
        <v>93</v>
      </c>
      <c r="D8" s="84">
        <f>FV($D$3/4,4,0,-1)-1</f>
        <v>0.10920720136962947</v>
      </c>
    </row>
    <row r="9" spans="2:4" ht="19" customHeight="1">
      <c r="B9" s="25" t="s">
        <v>94</v>
      </c>
      <c r="D9" s="84">
        <f>FV($D$3/12,12,0,-1)-1</f>
        <v>0.11020345045182389</v>
      </c>
    </row>
    <row r="10" spans="2:4" ht="19" customHeight="1">
      <c r="B10" s="25" t="s">
        <v>95</v>
      </c>
      <c r="D10" s="84">
        <f>FV($D$3/365,365,0,-1)-1</f>
        <v>0.1106938389254597</v>
      </c>
    </row>
    <row r="11" spans="2:4" ht="19" customHeight="1">
      <c r="B11" s="25" t="s">
        <v>96</v>
      </c>
      <c r="D11" s="84">
        <f>EXP(D3)-1</f>
        <v>0.11071061035570517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18:G31"/>
  <sheetViews>
    <sheetView topLeftCell="A7" workbookViewId="0">
      <selection activeCell="I18" sqref="I18"/>
    </sheetView>
  </sheetViews>
  <sheetFormatPr defaultRowHeight="14.5"/>
  <cols>
    <col min="1" max="1" width="8.7265625" style="69"/>
    <col min="2" max="2" width="29.26953125" style="69" customWidth="1"/>
    <col min="3" max="3" width="12.90625" style="69" customWidth="1"/>
    <col min="4" max="4" width="2.6328125" style="69" customWidth="1"/>
    <col min="5" max="5" width="15.7265625" style="69" customWidth="1"/>
    <col min="6" max="6" width="24" style="69" customWidth="1"/>
    <col min="7" max="7" width="18.453125" style="69" customWidth="1"/>
    <col min="8" max="16384" width="8.7265625" style="69"/>
  </cols>
  <sheetData>
    <row r="18" spans="2:7" ht="15" thickBot="1">
      <c r="B18" s="69" t="s">
        <v>98</v>
      </c>
      <c r="C18" s="70">
        <v>85000</v>
      </c>
      <c r="E18" s="69" t="s">
        <v>141</v>
      </c>
    </row>
    <row r="19" spans="2:7" ht="15" thickBot="1">
      <c r="B19" s="69" t="s">
        <v>99</v>
      </c>
      <c r="C19" s="64">
        <v>10</v>
      </c>
      <c r="E19" s="69" t="s">
        <v>142</v>
      </c>
      <c r="G19" s="85">
        <f>PMT(C20/12,C19*12,-C18)</f>
        <v>1146.9474725921432</v>
      </c>
    </row>
    <row r="20" spans="2:7">
      <c r="B20" s="69" t="s">
        <v>23</v>
      </c>
      <c r="C20" s="71">
        <v>0.105</v>
      </c>
    </row>
    <row r="21" spans="2:7">
      <c r="B21" s="69" t="s">
        <v>100</v>
      </c>
      <c r="C21" s="70">
        <v>500</v>
      </c>
      <c r="E21" s="69" t="s">
        <v>140</v>
      </c>
    </row>
    <row r="22" spans="2:7" ht="15" thickBot="1">
      <c r="E22" s="69" t="s">
        <v>101</v>
      </c>
    </row>
    <row r="23" spans="2:7" ht="15" thickBot="1">
      <c r="E23" s="69" t="s">
        <v>143</v>
      </c>
      <c r="G23" s="72">
        <f>NPER(C20/12,G19+C21,-C18)</f>
        <v>68.955660946553706</v>
      </c>
    </row>
    <row r="25" spans="2:7">
      <c r="E25" s="69" t="s">
        <v>102</v>
      </c>
    </row>
    <row r="26" spans="2:7">
      <c r="E26" s="69" t="s">
        <v>103</v>
      </c>
    </row>
    <row r="27" spans="2:7">
      <c r="E27" s="69" t="s">
        <v>104</v>
      </c>
    </row>
    <row r="28" spans="2:7">
      <c r="E28" s="69" t="s">
        <v>105</v>
      </c>
    </row>
    <row r="29" spans="2:7">
      <c r="E29" s="69" t="s">
        <v>106</v>
      </c>
    </row>
    <row r="30" spans="2:7" ht="15" thickBot="1">
      <c r="E30" s="69" t="s">
        <v>107</v>
      </c>
    </row>
    <row r="31" spans="2:7" ht="15" thickBot="1">
      <c r="E31" s="69" t="s">
        <v>108</v>
      </c>
      <c r="G31" s="15">
        <f>(G19*C19*12)-(G23*(G19+C21))</f>
        <v>24067.345194209774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2:N105"/>
  <sheetViews>
    <sheetView topLeftCell="A91" zoomScale="115" zoomScaleNormal="115" workbookViewId="0">
      <selection activeCell="H17" sqref="H17"/>
    </sheetView>
  </sheetViews>
  <sheetFormatPr defaultRowHeight="14.5"/>
  <cols>
    <col min="1" max="1" width="3.54296875" customWidth="1"/>
    <col min="2" max="2" width="3.7265625" customWidth="1"/>
    <col min="3" max="3" width="12.54296875" customWidth="1"/>
    <col min="4" max="5" width="13.7265625" customWidth="1"/>
    <col min="8" max="8" width="12.26953125" bestFit="1" customWidth="1"/>
    <col min="10" max="14" width="12.81640625" customWidth="1"/>
  </cols>
  <sheetData>
    <row r="2" spans="2:8" ht="23.5">
      <c r="B2" s="1" t="s">
        <v>153</v>
      </c>
    </row>
    <row r="3" spans="2:8" ht="23.5">
      <c r="B3" s="1"/>
    </row>
    <row r="4" spans="2:8" ht="23.5">
      <c r="B4" s="1"/>
    </row>
    <row r="5" spans="2:8" ht="23.5">
      <c r="B5" s="1"/>
    </row>
    <row r="6" spans="2:8" ht="23.5">
      <c r="B6" s="1"/>
    </row>
    <row r="7" spans="2:8" ht="23.5">
      <c r="B7" s="1"/>
    </row>
    <row r="10" spans="2:8">
      <c r="H10" s="4"/>
    </row>
    <row r="11" spans="2:8">
      <c r="B11" s="63" t="s">
        <v>0</v>
      </c>
      <c r="C11" t="s">
        <v>2</v>
      </c>
    </row>
    <row r="12" spans="2:8">
      <c r="C12" t="s">
        <v>3</v>
      </c>
    </row>
    <row r="13" spans="2:8" ht="15" thickBot="1"/>
    <row r="14" spans="2:8" ht="15" thickBot="1">
      <c r="D14" s="5" t="s">
        <v>4</v>
      </c>
      <c r="E14" s="6" t="s">
        <v>5</v>
      </c>
    </row>
    <row r="15" spans="2:8" ht="15" thickBot="1">
      <c r="D15" s="7">
        <v>1</v>
      </c>
      <c r="E15" s="8">
        <v>2000</v>
      </c>
      <c r="F15" t="s">
        <v>6</v>
      </c>
    </row>
    <row r="16" spans="2:8">
      <c r="D16" s="9">
        <v>2</v>
      </c>
      <c r="E16" s="10">
        <f>E15</f>
        <v>2000</v>
      </c>
    </row>
    <row r="17" spans="3:10">
      <c r="D17" s="9">
        <v>3</v>
      </c>
      <c r="E17" s="11">
        <f>E16</f>
        <v>2000</v>
      </c>
    </row>
    <row r="18" spans="3:10">
      <c r="D18" s="9">
        <v>4</v>
      </c>
      <c r="E18" s="11">
        <f>E17</f>
        <v>2000</v>
      </c>
    </row>
    <row r="19" spans="3:10">
      <c r="D19" s="9">
        <v>5</v>
      </c>
      <c r="E19" s="11">
        <f>E18</f>
        <v>2000</v>
      </c>
    </row>
    <row r="20" spans="3:10" ht="15" thickBot="1">
      <c r="D20" s="9">
        <v>6</v>
      </c>
      <c r="E20" s="12">
        <f>E17</f>
        <v>2000</v>
      </c>
      <c r="J20" s="73"/>
    </row>
    <row r="21" spans="3:10" ht="15" thickBot="1">
      <c r="D21" s="13">
        <v>7</v>
      </c>
      <c r="E21" s="8">
        <v>4000</v>
      </c>
      <c r="F21" t="s">
        <v>6</v>
      </c>
    </row>
    <row r="23" spans="3:10">
      <c r="C23" t="s">
        <v>109</v>
      </c>
      <c r="E23" s="2">
        <v>12000</v>
      </c>
      <c r="I23" s="4"/>
    </row>
    <row r="25" spans="3:10">
      <c r="C25" t="s">
        <v>8</v>
      </c>
    </row>
    <row r="26" spans="3:10">
      <c r="C26" t="s">
        <v>9</v>
      </c>
    </row>
    <row r="28" spans="3:10">
      <c r="C28" t="s">
        <v>144</v>
      </c>
    </row>
    <row r="29" spans="3:10">
      <c r="C29" t="s">
        <v>110</v>
      </c>
    </row>
    <row r="31" spans="3:10" ht="15" thickBot="1"/>
    <row r="32" spans="3:10" ht="15" thickBot="1">
      <c r="D32" s="87">
        <f>RATE(7,E15,-E23,E21-E15)</f>
        <v>7.0527380278910465E-2</v>
      </c>
      <c r="E32" s="88"/>
    </row>
    <row r="34" spans="2:6">
      <c r="B34" s="63" t="s">
        <v>1</v>
      </c>
      <c r="C34" t="s">
        <v>111</v>
      </c>
    </row>
    <row r="35" spans="2:6">
      <c r="C35" t="s">
        <v>112</v>
      </c>
    </row>
    <row r="36" spans="2:6" ht="15" thickBot="1"/>
    <row r="37" spans="2:6" ht="15" thickBot="1">
      <c r="D37" s="78" t="s">
        <v>4</v>
      </c>
      <c r="E37" s="6" t="s">
        <v>5</v>
      </c>
    </row>
    <row r="38" spans="2:6">
      <c r="D38" s="79">
        <v>1</v>
      </c>
      <c r="E38" s="74"/>
    </row>
    <row r="39" spans="2:6">
      <c r="D39" s="79">
        <v>2</v>
      </c>
      <c r="E39" s="75"/>
    </row>
    <row r="40" spans="2:6">
      <c r="D40" s="79">
        <v>3</v>
      </c>
      <c r="E40" s="75"/>
    </row>
    <row r="41" spans="2:6">
      <c r="D41" s="79">
        <v>4</v>
      </c>
      <c r="E41" s="75"/>
    </row>
    <row r="42" spans="2:6">
      <c r="D42" s="79">
        <v>5</v>
      </c>
      <c r="E42" s="75"/>
    </row>
    <row r="43" spans="2:6">
      <c r="D43" s="79">
        <v>6</v>
      </c>
      <c r="E43" s="75"/>
    </row>
    <row r="44" spans="2:6" ht="15" thickBot="1">
      <c r="D44" s="79">
        <v>7</v>
      </c>
      <c r="E44" s="75"/>
    </row>
    <row r="45" spans="2:6" ht="15" thickBot="1">
      <c r="D45" s="79">
        <v>8</v>
      </c>
      <c r="E45" s="76">
        <v>5000</v>
      </c>
      <c r="F45" t="s">
        <v>6</v>
      </c>
    </row>
    <row r="46" spans="2:6">
      <c r="D46" s="79">
        <v>9</v>
      </c>
      <c r="E46" s="77">
        <f>E45</f>
        <v>5000</v>
      </c>
    </row>
    <row r="47" spans="2:6">
      <c r="D47" s="79">
        <v>10</v>
      </c>
      <c r="E47" s="77">
        <f>E46</f>
        <v>5000</v>
      </c>
    </row>
    <row r="48" spans="2:6">
      <c r="D48" s="79">
        <v>11</v>
      </c>
      <c r="E48" s="77">
        <f t="shared" ref="E48:E52" si="0">E47</f>
        <v>5000</v>
      </c>
    </row>
    <row r="49" spans="2:5">
      <c r="D49" s="79">
        <v>12</v>
      </c>
      <c r="E49" s="77">
        <f t="shared" si="0"/>
        <v>5000</v>
      </c>
    </row>
    <row r="50" spans="2:5">
      <c r="D50" s="79">
        <v>13</v>
      </c>
      <c r="E50" s="77">
        <f t="shared" si="0"/>
        <v>5000</v>
      </c>
    </row>
    <row r="51" spans="2:5">
      <c r="D51" s="79">
        <v>14</v>
      </c>
      <c r="E51" s="77">
        <f t="shared" si="0"/>
        <v>5000</v>
      </c>
    </row>
    <row r="52" spans="2:5">
      <c r="D52" s="79">
        <v>15</v>
      </c>
      <c r="E52" s="77">
        <f t="shared" si="0"/>
        <v>5000</v>
      </c>
    </row>
    <row r="54" spans="2:5">
      <c r="C54" t="s">
        <v>7</v>
      </c>
      <c r="E54" s="14">
        <v>0.12</v>
      </c>
    </row>
    <row r="56" spans="2:5">
      <c r="C56" t="s">
        <v>113</v>
      </c>
    </row>
    <row r="58" spans="2:5">
      <c r="C58" t="s">
        <v>114</v>
      </c>
    </row>
    <row r="59" spans="2:5">
      <c r="C59" t="s">
        <v>12</v>
      </c>
    </row>
    <row r="60" spans="2:5">
      <c r="C60" t="s">
        <v>10</v>
      </c>
    </row>
    <row r="61" spans="2:5" ht="15" thickBot="1"/>
    <row r="62" spans="2:5" ht="15" thickBot="1">
      <c r="D62" s="89">
        <f>PV(E54,8,-E45)/(1+E54)^7</f>
        <v>11235.539753028925</v>
      </c>
      <c r="E62" s="90"/>
    </row>
    <row r="64" spans="2:5">
      <c r="B64" s="63" t="s">
        <v>11</v>
      </c>
      <c r="C64" t="s">
        <v>130</v>
      </c>
    </row>
    <row r="65" spans="2:5">
      <c r="B65" s="63"/>
    </row>
    <row r="66" spans="2:5">
      <c r="B66" t="s">
        <v>131</v>
      </c>
    </row>
    <row r="71" spans="2:5">
      <c r="C71" t="s">
        <v>132</v>
      </c>
    </row>
    <row r="72" spans="2:5">
      <c r="C72" t="s">
        <v>135</v>
      </c>
    </row>
    <row r="73" spans="2:5">
      <c r="C73" t="s">
        <v>133</v>
      </c>
    </row>
    <row r="74" spans="2:5">
      <c r="C74" t="s">
        <v>145</v>
      </c>
    </row>
    <row r="75" spans="2:5">
      <c r="C75" t="s">
        <v>134</v>
      </c>
    </row>
    <row r="77" spans="2:5">
      <c r="D77" t="s">
        <v>146</v>
      </c>
      <c r="E77">
        <f>100/1.1</f>
        <v>90.909090909090907</v>
      </c>
    </row>
    <row r="78" spans="2:5">
      <c r="D78" t="s">
        <v>147</v>
      </c>
      <c r="E78">
        <f>200/1.1^2</f>
        <v>165.28925619834709</v>
      </c>
    </row>
    <row r="79" spans="2:5">
      <c r="D79" t="s">
        <v>148</v>
      </c>
      <c r="E79">
        <f>500/1.1^6</f>
        <v>282.23696502688858</v>
      </c>
    </row>
    <row r="80" spans="2:5" ht="15" thickBot="1">
      <c r="D80" t="s">
        <v>149</v>
      </c>
      <c r="E80">
        <f>SUM(E77:E79)</f>
        <v>538.43531213432652</v>
      </c>
    </row>
    <row r="81" spans="2:14" ht="15" thickBot="1">
      <c r="D81" t="s">
        <v>150</v>
      </c>
      <c r="E81">
        <f>1800-E80</f>
        <v>1261.5646878656735</v>
      </c>
      <c r="F81" s="63" t="s">
        <v>151</v>
      </c>
      <c r="G81">
        <f>E81*1.1^2</f>
        <v>1526.4932723174652</v>
      </c>
      <c r="H81" t="s">
        <v>152</v>
      </c>
      <c r="I81" s="85">
        <f>PMT(0.1,3,-G81)</f>
        <v>613.82554243339712</v>
      </c>
    </row>
    <row r="83" spans="2:14">
      <c r="B83" s="63" t="s">
        <v>13</v>
      </c>
      <c r="C83" t="s">
        <v>29</v>
      </c>
    </row>
    <row r="84" spans="2:14" ht="17.5">
      <c r="C84" t="s">
        <v>31</v>
      </c>
      <c r="I84" s="35" t="s">
        <v>4</v>
      </c>
      <c r="J84" s="35" t="s">
        <v>26</v>
      </c>
      <c r="K84" s="35" t="s">
        <v>27</v>
      </c>
      <c r="L84" s="35" t="s">
        <v>42</v>
      </c>
      <c r="M84" s="35" t="s">
        <v>28</v>
      </c>
      <c r="N84" s="35"/>
    </row>
    <row r="85" spans="2:14">
      <c r="C85" t="s">
        <v>32</v>
      </c>
      <c r="I85" s="34">
        <v>1</v>
      </c>
      <c r="J85">
        <v>2500</v>
      </c>
      <c r="K85">
        <v>1800</v>
      </c>
      <c r="L85">
        <v>300</v>
      </c>
      <c r="M85">
        <v>125</v>
      </c>
    </row>
    <row r="86" spans="2:14" ht="15" thickBot="1">
      <c r="I86" s="34">
        <v>2</v>
      </c>
      <c r="J86">
        <v>3000</v>
      </c>
      <c r="K86">
        <v>2200</v>
      </c>
      <c r="L86">
        <v>315</v>
      </c>
      <c r="M86">
        <v>150</v>
      </c>
    </row>
    <row r="87" spans="2:14" ht="15" thickBot="1">
      <c r="C87" s="17" t="s">
        <v>30</v>
      </c>
      <c r="E87" s="36">
        <v>8</v>
      </c>
      <c r="I87" s="34">
        <v>3</v>
      </c>
      <c r="J87">
        <v>3250</v>
      </c>
      <c r="K87">
        <v>2400</v>
      </c>
      <c r="L87">
        <v>325</v>
      </c>
      <c r="M87">
        <v>162</v>
      </c>
    </row>
    <row r="88" spans="2:14" ht="15" thickBot="1">
      <c r="C88" s="27"/>
      <c r="I88" s="34">
        <v>4</v>
      </c>
      <c r="J88">
        <v>4000</v>
      </c>
      <c r="K88">
        <v>3100</v>
      </c>
      <c r="L88">
        <v>400</v>
      </c>
      <c r="M88">
        <v>200</v>
      </c>
    </row>
    <row r="89" spans="2:14" ht="15" thickBot="1">
      <c r="C89" s="17" t="s">
        <v>28</v>
      </c>
      <c r="E89" s="37">
        <f>VLOOKUP(E87,I85:M94,5)</f>
        <v>325</v>
      </c>
      <c r="I89" s="34">
        <v>5</v>
      </c>
      <c r="J89">
        <v>4500</v>
      </c>
      <c r="K89">
        <v>3300</v>
      </c>
      <c r="L89">
        <v>430</v>
      </c>
      <c r="M89">
        <v>225</v>
      </c>
    </row>
    <row r="90" spans="2:14">
      <c r="I90" s="34">
        <v>6</v>
      </c>
      <c r="J90">
        <v>5200</v>
      </c>
      <c r="K90">
        <v>3900</v>
      </c>
      <c r="L90">
        <v>450</v>
      </c>
      <c r="M90">
        <v>260</v>
      </c>
    </row>
    <row r="91" spans="2:14">
      <c r="I91" s="34">
        <v>7</v>
      </c>
      <c r="J91">
        <v>5900</v>
      </c>
      <c r="K91">
        <v>4400</v>
      </c>
      <c r="L91">
        <v>500</v>
      </c>
      <c r="M91">
        <v>295</v>
      </c>
    </row>
    <row r="92" spans="2:14">
      <c r="I92" s="34">
        <v>8</v>
      </c>
      <c r="J92">
        <v>6500</v>
      </c>
      <c r="K92">
        <v>4800</v>
      </c>
      <c r="L92">
        <v>550</v>
      </c>
      <c r="M92">
        <v>325</v>
      </c>
    </row>
    <row r="93" spans="2:14">
      <c r="I93" s="34">
        <v>9</v>
      </c>
      <c r="J93">
        <v>8000</v>
      </c>
      <c r="K93">
        <v>6000</v>
      </c>
      <c r="L93">
        <v>590</v>
      </c>
      <c r="M93">
        <v>400</v>
      </c>
    </row>
    <row r="94" spans="2:14">
      <c r="I94" s="34">
        <v>10</v>
      </c>
      <c r="J94">
        <v>9250</v>
      </c>
      <c r="K94">
        <v>6900</v>
      </c>
      <c r="L94">
        <v>700</v>
      </c>
      <c r="M94">
        <v>475</v>
      </c>
    </row>
    <row r="96" spans="2:14">
      <c r="C96" t="s">
        <v>24</v>
      </c>
    </row>
    <row r="97" spans="2:4">
      <c r="B97" s="63" t="s">
        <v>14</v>
      </c>
      <c r="C97" t="s">
        <v>25</v>
      </c>
    </row>
    <row r="98" spans="2:4" ht="15" thickBot="1"/>
    <row r="99" spans="2:4" ht="15" thickBot="1">
      <c r="C99" s="28" t="s">
        <v>4</v>
      </c>
      <c r="D99" s="29" t="s">
        <v>26</v>
      </c>
    </row>
    <row r="100" spans="2:4">
      <c r="C100" s="30">
        <v>2005</v>
      </c>
      <c r="D100" s="66">
        <v>1685000</v>
      </c>
    </row>
    <row r="101" spans="2:4">
      <c r="C101" s="31">
        <v>2006</v>
      </c>
      <c r="D101" s="67">
        <v>1925000</v>
      </c>
    </row>
    <row r="102" spans="2:4">
      <c r="C102" s="31">
        <v>2007</v>
      </c>
      <c r="D102" s="67">
        <v>2542000</v>
      </c>
    </row>
    <row r="103" spans="2:4">
      <c r="C103" s="31">
        <v>2008</v>
      </c>
      <c r="D103" s="67">
        <v>2246000</v>
      </c>
    </row>
    <row r="104" spans="2:4">
      <c r="C104" s="31">
        <v>2009</v>
      </c>
      <c r="D104" s="67">
        <v>3625000</v>
      </c>
    </row>
    <row r="105" spans="2:4" ht="15" thickBot="1">
      <c r="C105" s="32">
        <v>2010</v>
      </c>
      <c r="D105" s="33">
        <f>TREND(D100:D104,C100:C104,C105)</f>
        <v>3664900</v>
      </c>
    </row>
  </sheetData>
  <mergeCells count="2">
    <mergeCell ref="D32:E32"/>
    <mergeCell ref="D62:E6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24:L73"/>
  <sheetViews>
    <sheetView topLeftCell="A46" zoomScale="115" zoomScaleNormal="115" workbookViewId="0">
      <selection activeCell="D81" sqref="D81"/>
    </sheetView>
  </sheetViews>
  <sheetFormatPr defaultColWidth="8.7265625" defaultRowHeight="14.5"/>
  <cols>
    <col min="1" max="1" width="6.1796875" style="39" customWidth="1"/>
    <col min="2" max="2" width="4" style="38" customWidth="1"/>
    <col min="3" max="3" width="30.7265625" style="38" customWidth="1"/>
    <col min="4" max="4" width="17" style="39" customWidth="1"/>
    <col min="5" max="6" width="14.54296875" style="39" customWidth="1"/>
    <col min="7" max="16384" width="8.7265625" style="39"/>
  </cols>
  <sheetData>
    <row r="24" spans="3:6" ht="15" thickBot="1"/>
    <row r="25" spans="3:6" ht="19.5" customHeight="1" thickBot="1">
      <c r="C25" s="92" t="s">
        <v>81</v>
      </c>
      <c r="D25" s="93"/>
      <c r="E25" s="93"/>
      <c r="F25" s="93"/>
    </row>
    <row r="26" spans="3:6" ht="16" customHeight="1">
      <c r="C26" s="56" t="s">
        <v>74</v>
      </c>
      <c r="F26" s="60">
        <v>0.05</v>
      </c>
    </row>
    <row r="27" spans="3:6">
      <c r="C27" s="56" t="s">
        <v>77</v>
      </c>
      <c r="F27" s="60">
        <v>0.06</v>
      </c>
    </row>
    <row r="28" spans="3:6">
      <c r="C28" s="56" t="s">
        <v>76</v>
      </c>
      <c r="F28" s="60">
        <v>8.5000000000000006E-2</v>
      </c>
    </row>
    <row r="29" spans="3:6">
      <c r="C29" s="56" t="s">
        <v>75</v>
      </c>
      <c r="F29" s="59">
        <v>0.35</v>
      </c>
    </row>
    <row r="30" spans="3:6">
      <c r="C30" s="56" t="s">
        <v>78</v>
      </c>
      <c r="F30" s="55">
        <v>30000</v>
      </c>
    </row>
    <row r="31" spans="3:6">
      <c r="C31" s="56" t="s">
        <v>79</v>
      </c>
      <c r="F31" s="55">
        <v>150000</v>
      </c>
    </row>
    <row r="32" spans="3:6">
      <c r="C32" s="56" t="s">
        <v>80</v>
      </c>
      <c r="F32" s="55">
        <v>20000</v>
      </c>
    </row>
    <row r="33" spans="3:12" ht="7.5" customHeight="1" thickBot="1">
      <c r="C33" s="57"/>
      <c r="D33" s="43"/>
      <c r="E33" s="43"/>
      <c r="F33" s="58"/>
    </row>
    <row r="34" spans="3:12">
      <c r="C34" s="56"/>
      <c r="F34" s="55"/>
    </row>
    <row r="35" spans="3:12" ht="21.5" thickBot="1">
      <c r="C35" s="91" t="s">
        <v>33</v>
      </c>
      <c r="D35" s="91"/>
      <c r="E35" s="91"/>
      <c r="F35" s="91"/>
    </row>
    <row r="36" spans="3:12" ht="19.5" customHeight="1" thickBot="1">
      <c r="C36" s="49"/>
      <c r="D36" s="49" t="s">
        <v>34</v>
      </c>
      <c r="E36" s="49" t="s">
        <v>35</v>
      </c>
      <c r="F36" s="49" t="s">
        <v>36</v>
      </c>
    </row>
    <row r="37" spans="3:12" ht="17.25" customHeight="1">
      <c r="C37" s="50" t="s">
        <v>26</v>
      </c>
      <c r="D37" s="39">
        <v>3514000</v>
      </c>
      <c r="E37" s="39">
        <v>3795120.0000000005</v>
      </c>
      <c r="F37" s="65">
        <f>E37*(1+F26)</f>
        <v>3984876.0000000005</v>
      </c>
    </row>
    <row r="38" spans="3:12" ht="17">
      <c r="C38" s="53" t="s">
        <v>37</v>
      </c>
      <c r="D38" s="41">
        <v>2284100</v>
      </c>
      <c r="E38" s="41">
        <v>2656584</v>
      </c>
      <c r="F38" s="41">
        <f>$F$37*J38*1.1</f>
        <v>2958770.4300000006</v>
      </c>
      <c r="H38" s="82">
        <f>D38/D$37</f>
        <v>0.65</v>
      </c>
      <c r="I38" s="82">
        <f>E38/E$37</f>
        <v>0.7</v>
      </c>
      <c r="J38" s="86">
        <f>AVERAGE(H38:I38)</f>
        <v>0.67500000000000004</v>
      </c>
      <c r="L38"/>
    </row>
    <row r="39" spans="3:12">
      <c r="C39" s="51" t="s">
        <v>38</v>
      </c>
      <c r="D39" s="39">
        <v>1229900</v>
      </c>
      <c r="E39" s="39">
        <v>1138536.0000000005</v>
      </c>
      <c r="F39" s="39">
        <f>F37-F38</f>
        <v>1026105.5699999998</v>
      </c>
    </row>
    <row r="40" spans="3:12">
      <c r="C40" s="50" t="s">
        <v>39</v>
      </c>
      <c r="D40" s="39">
        <v>350000</v>
      </c>
      <c r="E40" s="39">
        <v>325000</v>
      </c>
      <c r="F40" s="39">
        <f>$F$37*J40</f>
        <v>369075</v>
      </c>
      <c r="G40" s="42"/>
      <c r="H40" s="82">
        <f>D40/D$37</f>
        <v>9.9601593625498003E-2</v>
      </c>
      <c r="I40" s="82">
        <f>E40/E$37</f>
        <v>8.5636290815573668E-2</v>
      </c>
      <c r="J40" s="86">
        <f>AVERAGE(H40:I40)</f>
        <v>9.2618942220535835E-2</v>
      </c>
    </row>
    <row r="41" spans="3:12">
      <c r="C41" s="50" t="s">
        <v>40</v>
      </c>
      <c r="D41" s="39">
        <v>120000</v>
      </c>
      <c r="E41" s="39">
        <v>125000</v>
      </c>
      <c r="F41" s="39">
        <v>110000</v>
      </c>
    </row>
    <row r="42" spans="3:12" ht="17">
      <c r="C42" s="53" t="s">
        <v>41</v>
      </c>
      <c r="D42" s="41">
        <v>30000</v>
      </c>
      <c r="E42" s="41">
        <v>32500</v>
      </c>
      <c r="F42" s="41">
        <f>E42+F32</f>
        <v>52500</v>
      </c>
    </row>
    <row r="43" spans="3:12">
      <c r="C43" s="51" t="s">
        <v>42</v>
      </c>
      <c r="D43" s="39">
        <v>729900</v>
      </c>
      <c r="E43" s="39">
        <v>656036.00000000047</v>
      </c>
      <c r="F43" s="39">
        <f>F39-F40-F41-F42</f>
        <v>494530.56999999983</v>
      </c>
    </row>
    <row r="44" spans="3:12" ht="17">
      <c r="C44" s="53" t="s">
        <v>43</v>
      </c>
      <c r="D44" s="41">
        <v>56000</v>
      </c>
      <c r="E44" s="41">
        <v>62900</v>
      </c>
      <c r="F44" s="41">
        <f>F27*E61+F28*E64</f>
        <v>55100</v>
      </c>
    </row>
    <row r="45" spans="3:12">
      <c r="C45" s="51" t="s">
        <v>44</v>
      </c>
      <c r="D45" s="39">
        <v>673900</v>
      </c>
      <c r="E45" s="39">
        <v>593136.00000000047</v>
      </c>
      <c r="F45" s="39">
        <f>F43-F44</f>
        <v>439430.56999999983</v>
      </c>
    </row>
    <row r="46" spans="3:12" ht="17">
      <c r="C46" s="53" t="s">
        <v>45</v>
      </c>
      <c r="D46" s="41">
        <v>235800</v>
      </c>
      <c r="E46" s="41">
        <v>207600</v>
      </c>
      <c r="F46" s="41">
        <f>F45*F29</f>
        <v>153800.69949999993</v>
      </c>
    </row>
    <row r="47" spans="3:12" ht="15" thickBot="1">
      <c r="C47" s="52" t="s">
        <v>28</v>
      </c>
      <c r="D47" s="43">
        <v>438100</v>
      </c>
      <c r="E47" s="43">
        <v>385536.00000000047</v>
      </c>
      <c r="F47" s="43">
        <f>F45-F46</f>
        <v>285629.8704999999</v>
      </c>
    </row>
    <row r="48" spans="3:12" ht="7.5" customHeight="1">
      <c r="C48" s="27"/>
      <c r="D48"/>
      <c r="E48"/>
      <c r="F48"/>
    </row>
    <row r="49" spans="2:10" ht="21.5" thickBot="1">
      <c r="B49" s="91" t="s">
        <v>46</v>
      </c>
      <c r="C49" s="91"/>
      <c r="D49" s="91"/>
      <c r="E49" s="91"/>
      <c r="F49" s="91"/>
    </row>
    <row r="50" spans="2:10">
      <c r="B50" s="44" t="s">
        <v>47</v>
      </c>
      <c r="C50" s="44"/>
      <c r="D50" s="40" t="s">
        <v>34</v>
      </c>
      <c r="E50" s="40" t="s">
        <v>35</v>
      </c>
      <c r="F50" s="40" t="s">
        <v>36</v>
      </c>
    </row>
    <row r="51" spans="2:10">
      <c r="B51" s="45" t="s">
        <v>48</v>
      </c>
      <c r="D51" s="39">
        <v>52000</v>
      </c>
      <c r="E51" s="39">
        <v>98036.000000000466</v>
      </c>
      <c r="F51" s="39">
        <v>98036</v>
      </c>
    </row>
    <row r="52" spans="2:10">
      <c r="B52" s="45" t="s">
        <v>49</v>
      </c>
      <c r="D52" s="39">
        <v>406000</v>
      </c>
      <c r="E52" s="39">
        <v>520000</v>
      </c>
      <c r="F52" s="39">
        <f>$F$37*J52</f>
        <v>503202.00000000006</v>
      </c>
      <c r="H52" s="82">
        <f>D52/D$37</f>
        <v>0.11553784860557768</v>
      </c>
      <c r="I52" s="82">
        <f>E52/E$37</f>
        <v>0.13701806530491789</v>
      </c>
      <c r="J52" s="86">
        <f>AVERAGE(H52:I52)</f>
        <v>0.12627795695524779</v>
      </c>
    </row>
    <row r="53" spans="2:10" ht="16">
      <c r="B53" s="45" t="s">
        <v>50</v>
      </c>
      <c r="D53" s="41">
        <v>854000</v>
      </c>
      <c r="E53" s="41">
        <v>875000</v>
      </c>
      <c r="F53" s="41">
        <f>$F$37*J53</f>
        <v>943593</v>
      </c>
      <c r="H53" s="82">
        <f>D53/D$37</f>
        <v>0.24302788844621515</v>
      </c>
      <c r="I53" s="82">
        <f>E53/E$37</f>
        <v>0.23055924450346757</v>
      </c>
      <c r="J53" s="86">
        <f>AVERAGE(H53:I53)</f>
        <v>0.23679356647484134</v>
      </c>
    </row>
    <row r="54" spans="2:10">
      <c r="B54" s="46" t="s">
        <v>51</v>
      </c>
      <c r="D54" s="39">
        <v>1312000</v>
      </c>
      <c r="E54" s="39">
        <v>1493036.0000000005</v>
      </c>
      <c r="F54" s="39">
        <f>SUM(F51:F53)</f>
        <v>1544831</v>
      </c>
    </row>
    <row r="55" spans="2:10">
      <c r="B55" s="45" t="s">
        <v>52</v>
      </c>
      <c r="D55" s="39">
        <v>429000</v>
      </c>
      <c r="E55" s="39">
        <v>580000</v>
      </c>
      <c r="F55" s="39">
        <f>E55+F31</f>
        <v>730000</v>
      </c>
    </row>
    <row r="56" spans="2:10" ht="16">
      <c r="B56" s="45" t="s">
        <v>53</v>
      </c>
      <c r="D56" s="41">
        <v>126000</v>
      </c>
      <c r="E56" s="41">
        <v>158500</v>
      </c>
      <c r="F56" s="41">
        <f>E56+F42</f>
        <v>211000</v>
      </c>
    </row>
    <row r="57" spans="2:10" ht="16">
      <c r="B57" s="46" t="s">
        <v>54</v>
      </c>
      <c r="D57" s="41">
        <v>303000</v>
      </c>
      <c r="E57" s="41">
        <v>421500</v>
      </c>
      <c r="F57" s="41">
        <f>F55-F56</f>
        <v>519000</v>
      </c>
    </row>
    <row r="58" spans="2:10" ht="15" thickBot="1">
      <c r="B58" s="46" t="s">
        <v>55</v>
      </c>
      <c r="D58" s="39">
        <v>1615000</v>
      </c>
      <c r="E58" s="39">
        <v>1914536.0000000005</v>
      </c>
      <c r="F58" s="39">
        <f>F54+F57</f>
        <v>2063831</v>
      </c>
    </row>
    <row r="59" spans="2:10" ht="16" customHeight="1">
      <c r="B59" s="44" t="s">
        <v>56</v>
      </c>
      <c r="C59" s="44"/>
      <c r="D59" s="40"/>
      <c r="E59" s="40"/>
      <c r="F59" s="40"/>
    </row>
    <row r="60" spans="2:10">
      <c r="B60" s="45" t="s">
        <v>57</v>
      </c>
      <c r="D60" s="39">
        <v>130000</v>
      </c>
      <c r="E60" s="39">
        <v>180000</v>
      </c>
      <c r="F60" s="39">
        <f>$F$37*J60</f>
        <v>168210</v>
      </c>
      <c r="H60" s="82">
        <f>D60/D$37</f>
        <v>3.6994877632327831E-2</v>
      </c>
      <c r="I60" s="82">
        <f>E60/E$37</f>
        <v>4.742933029785619E-2</v>
      </c>
      <c r="J60" s="86">
        <f>AVERAGE(H60:I60)</f>
        <v>4.2212103965092007E-2</v>
      </c>
    </row>
    <row r="61" spans="2:10">
      <c r="B61" s="45" t="s">
        <v>58</v>
      </c>
      <c r="D61" s="39">
        <v>179000</v>
      </c>
      <c r="E61" s="39">
        <v>210000</v>
      </c>
      <c r="F61" s="39">
        <v>210000</v>
      </c>
    </row>
    <row r="62" spans="2:10" ht="16">
      <c r="B62" s="45" t="s">
        <v>59</v>
      </c>
      <c r="D62" s="41">
        <v>118000</v>
      </c>
      <c r="E62" s="41">
        <v>85000</v>
      </c>
      <c r="F62" s="41">
        <v>85000</v>
      </c>
    </row>
    <row r="63" spans="2:10">
      <c r="B63" s="46" t="s">
        <v>60</v>
      </c>
      <c r="D63" s="39">
        <v>427000</v>
      </c>
      <c r="E63" s="39">
        <v>475000</v>
      </c>
      <c r="F63" s="39">
        <f>SUM(F60:F62)</f>
        <v>463210</v>
      </c>
    </row>
    <row r="64" spans="2:10" ht="16">
      <c r="B64" s="45" t="s">
        <v>61</v>
      </c>
      <c r="D64" s="41">
        <v>614000</v>
      </c>
      <c r="E64" s="41">
        <v>500000</v>
      </c>
      <c r="F64" s="41">
        <v>500000</v>
      </c>
    </row>
    <row r="65" spans="2:6">
      <c r="B65" s="46" t="s">
        <v>62</v>
      </c>
      <c r="D65" s="39">
        <v>1041000</v>
      </c>
      <c r="E65" s="39">
        <v>975000</v>
      </c>
      <c r="F65" s="39">
        <f>F63+F64</f>
        <v>963210</v>
      </c>
    </row>
    <row r="66" spans="2:6">
      <c r="B66" s="45" t="s">
        <v>63</v>
      </c>
      <c r="D66" s="39">
        <v>395000</v>
      </c>
      <c r="E66" s="39">
        <v>395000</v>
      </c>
      <c r="F66" s="39">
        <v>395000</v>
      </c>
    </row>
    <row r="67" spans="2:6" ht="16">
      <c r="B67" s="45" t="s">
        <v>64</v>
      </c>
      <c r="D67" s="41">
        <v>179000</v>
      </c>
      <c r="E67" s="41">
        <v>544536.00000000047</v>
      </c>
      <c r="F67" s="41">
        <f>E67+F47-F30</f>
        <v>800165.87050000043</v>
      </c>
    </row>
    <row r="68" spans="2:6" ht="16">
      <c r="B68" s="46" t="s">
        <v>65</v>
      </c>
      <c r="D68" s="41">
        <v>574000</v>
      </c>
      <c r="E68" s="41">
        <v>939536.00000000047</v>
      </c>
      <c r="F68" s="41">
        <f>F66+F67</f>
        <v>1195165.8705000004</v>
      </c>
    </row>
    <row r="69" spans="2:6" ht="15" thickBot="1">
      <c r="B69" s="47" t="s">
        <v>66</v>
      </c>
      <c r="C69" s="48"/>
      <c r="D69" s="43">
        <v>1615000</v>
      </c>
      <c r="E69" s="43">
        <v>1914536.0000000005</v>
      </c>
      <c r="F69" s="43">
        <f>F65+F68</f>
        <v>2158375.8705000002</v>
      </c>
    </row>
    <row r="70" spans="2:6" ht="6" customHeight="1"/>
    <row r="71" spans="2:6" ht="4.5" customHeight="1" thickBot="1"/>
    <row r="72" spans="2:6" ht="15" thickBot="1">
      <c r="C72" s="38" t="s">
        <v>82</v>
      </c>
      <c r="F72" s="15">
        <f>F69-F58</f>
        <v>94544.870500000194</v>
      </c>
    </row>
    <row r="73" spans="2:6" ht="10.5" customHeight="1" thickBot="1">
      <c r="B73" s="48"/>
      <c r="C73" s="48"/>
      <c r="D73" s="43"/>
      <c r="E73" s="43"/>
      <c r="F73" s="43"/>
    </row>
  </sheetData>
  <mergeCells count="3">
    <mergeCell ref="C35:F35"/>
    <mergeCell ref="B49:F49"/>
    <mergeCell ref="C25:F2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P1 - 30 Pts</vt:lpstr>
      <vt:lpstr>P2 - 10 pts</vt:lpstr>
      <vt:lpstr>P3 - 10 Pts</vt:lpstr>
      <vt:lpstr>P4 - 15 Pts</vt:lpstr>
      <vt:lpstr>P5 - 15 Pts</vt:lpstr>
      <vt:lpstr>Periods</vt:lpstr>
      <vt:lpstr>'P5 - 15 Pts'!Print_Area</vt:lpstr>
      <vt:lpstr>Rate</vt:lpstr>
      <vt:lpstr>Term</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cp:lastPrinted>2010-04-05T16:12:33Z</cp:lastPrinted>
  <dcterms:created xsi:type="dcterms:W3CDTF">2010-01-13T00:10:02Z</dcterms:created>
  <dcterms:modified xsi:type="dcterms:W3CDTF">2010-04-07T18:15:00Z</dcterms:modified>
</cp:coreProperties>
</file>